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расходы  на 2016год 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<sst xmlns="http://schemas.openxmlformats.org/spreadsheetml/2006/main" count="154" uniqueCount="87">
  <si>
    <t>№ п/п</t>
  </si>
  <si>
    <t>Наименование показателей</t>
  </si>
  <si>
    <t>Ед.изм.</t>
  </si>
  <si>
    <t>План с НДС</t>
  </si>
  <si>
    <t xml:space="preserve">ДОХОДЫ </t>
  </si>
  <si>
    <t>без НДС</t>
  </si>
  <si>
    <t>год 2014</t>
  </si>
  <si>
    <t>Обслуживаемая общеполезная площадь</t>
  </si>
  <si>
    <t>кв.м.</t>
  </si>
  <si>
    <t>ДОХОДЫ</t>
  </si>
  <si>
    <t>тыс.руб.</t>
  </si>
  <si>
    <t>1.1.</t>
  </si>
  <si>
    <t>Платежи граждан за работы и услуги по содержанию и ремонту общего имущества жилых домов</t>
  </si>
  <si>
    <t>1.2.</t>
  </si>
  <si>
    <t>Платежи по долевому участию собственников и арендаторов нежилых помещений в содержании и текущем ремонте жилищного фонда</t>
  </si>
  <si>
    <t>1.3.</t>
  </si>
  <si>
    <t>ЖСК за тех. обслуживание</t>
  </si>
  <si>
    <t>1.4.</t>
  </si>
  <si>
    <t>Платные услуги населению</t>
  </si>
  <si>
    <t>1.5.</t>
  </si>
  <si>
    <t>Доходы на предоставление льгот гражданам по оплате за жилье - всего, в том числе:</t>
  </si>
  <si>
    <t>1.6.</t>
  </si>
  <si>
    <t xml:space="preserve">Доходы от предпринимательской деятельности управляющей компании </t>
  </si>
  <si>
    <t>Прочие доходы,(пени,судебные дела, )</t>
  </si>
  <si>
    <t>РАСХОДЫ</t>
  </si>
  <si>
    <t>2.1.</t>
  </si>
  <si>
    <t>Расходы по тек. ремонту жил. Фонда</t>
  </si>
  <si>
    <t>Зарплата, производственного персонала по текущему ремонту</t>
  </si>
  <si>
    <t>Начисление на з/плату</t>
  </si>
  <si>
    <t>Приобретение материалов для текущего ремонта зданий и помещений, проводимого хозяйственным способом</t>
  </si>
  <si>
    <t>износ спец. Одежды, инструментов, инвентаря</t>
  </si>
  <si>
    <t>расходы по технике безопасности</t>
  </si>
  <si>
    <t>содержание транспортных машин,бензин, запчасти</t>
  </si>
  <si>
    <t>обучение, повышение квалификации</t>
  </si>
  <si>
    <t xml:space="preserve"> Подрядные организации по текущему ремонту</t>
  </si>
  <si>
    <t>2.2.</t>
  </si>
  <si>
    <t>Расходы по содержанию общего имущества  жил. Фонда</t>
  </si>
  <si>
    <t>Зарплата, производственного персонала по содержанию МКД</t>
  </si>
  <si>
    <t>Приобретение материалов для содержания  зданий и помещений, проводимого хозяйственным способом</t>
  </si>
  <si>
    <t>Прочие расходы, связанные с содержанием жилищного фонда: водопотребление, теплоэнергия, электроэнергия, амортизация ОС, больничный из APG,хранение инертных мат., ремонт ОС,ремонт техники, услуги ВЦКП,страхование ,спецодежда, инвентарь ,техника безопасност</t>
  </si>
  <si>
    <t>Подрядчики на выполнение работ по благоустройству, окраске ограждений , ремонт кровли, окраска  фасадов</t>
  </si>
  <si>
    <t>Услуги по промывке фасадов</t>
  </si>
  <si>
    <t xml:space="preserve">удаление снега и наледи с кровли, </t>
  </si>
  <si>
    <t>уборка территории от снега и вывоз снега</t>
  </si>
  <si>
    <t>Работы, выполняемые подрядными и специализированными организациями:</t>
  </si>
  <si>
    <t xml:space="preserve"> - уборка и сансодержанию л/клеток</t>
  </si>
  <si>
    <t xml:space="preserve"> - испытание внутр. Противопожарного водопровода </t>
  </si>
  <si>
    <t xml:space="preserve"> - техническое обслуживание и ремонт электроплит</t>
  </si>
  <si>
    <t xml:space="preserve"> - техническое обслуживание ОДС ,беспроводной (НИИ КБ ТРС)</t>
  </si>
  <si>
    <t xml:space="preserve"> - замер сопротивления изоляции электропроводов</t>
  </si>
  <si>
    <t xml:space="preserve"> - трубочистные работы</t>
  </si>
  <si>
    <t xml:space="preserve"> - дератизация (дезинсекция), обработка стволов мусоропров.</t>
  </si>
  <si>
    <t xml:space="preserve"> - обслуживание диспетчерской  проводной связи (Инжениринг)</t>
  </si>
  <si>
    <t xml:space="preserve"> - поверка  манометров, обслуживание газоанализаторов с заменой хим. Патпронов</t>
  </si>
  <si>
    <t>Содержание узлов учета ТЭ, воды и счетчиков</t>
  </si>
  <si>
    <t xml:space="preserve"> - прочие работы (аренда техники, комплексное ТО,монтаж и  облуживание узлов теплоучета, обслуживание раций связи, восстановление систем ОДС</t>
  </si>
  <si>
    <t>Прочие, (Гос. пошлины, судебные дела, налог на имущество, штрафы,услуги банков,транспортный налог, претензии,культ. Массовые профсоюз.)</t>
  </si>
  <si>
    <t xml:space="preserve"> - содержание лифтов  КТО</t>
  </si>
  <si>
    <t xml:space="preserve"> - страхование лифтов</t>
  </si>
  <si>
    <t xml:space="preserve"> - освидетельствование лифтов</t>
  </si>
  <si>
    <t xml:space="preserve"> - экспертиза  лифтов, отслуживших срок службы</t>
  </si>
  <si>
    <t xml:space="preserve"> - техническое обслуживание и ремонт АППЗ</t>
  </si>
  <si>
    <t xml:space="preserve"> - техническое обслуживание и ремонт ПЗУ</t>
  </si>
  <si>
    <t xml:space="preserve"> - вывоз твердых бытовых отходов</t>
  </si>
  <si>
    <t xml:space="preserve"> - ТО газового оборудования </t>
  </si>
  <si>
    <t>2.4.</t>
  </si>
  <si>
    <t>Накладные расходы</t>
  </si>
  <si>
    <t xml:space="preserve"> В том числе:Оплата труда РСС</t>
  </si>
  <si>
    <t>Начисления на фонд оплаты труда работников (ЕСН)</t>
  </si>
  <si>
    <t>Прочие накладные расходы</t>
  </si>
  <si>
    <t>2.5.</t>
  </si>
  <si>
    <t>Налоги  (НДС - 18%)</t>
  </si>
  <si>
    <t>Расходы на 1 кв.м. обслуживаемой площади в месяц</t>
  </si>
  <si>
    <t>руб.</t>
  </si>
  <si>
    <t>Среднесписочная численность работников</t>
  </si>
  <si>
    <t>чел</t>
  </si>
  <si>
    <t xml:space="preserve"> - руководители, специалисты и служащие</t>
  </si>
  <si>
    <t xml:space="preserve"> - производственный персонал</t>
  </si>
  <si>
    <t>Среднемесячная заработная плата</t>
  </si>
  <si>
    <t xml:space="preserve">Прибыль, убытки до налогообложения </t>
  </si>
  <si>
    <t>Ю.Д. Кирюшов</t>
  </si>
  <si>
    <t>Т.С. Панова</t>
  </si>
  <si>
    <t>2016год</t>
  </si>
  <si>
    <t>год 2016</t>
  </si>
  <si>
    <t>факт</t>
  </si>
  <si>
    <t>С НДС</t>
  </si>
  <si>
    <t>Выполнение СМЕТЫ  ДОХОДОВ и РАСХОДОВ за 2016год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</si>
</sst>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_ ;[Red]\-#,##0.0\ "/>
    <numFmt numFmtId="182" formatCode="#,##0_ ;[Red]\-#,##0\ "/>
    <numFmt numFmtId="183" formatCode="0.0"/>
    <numFmt numFmtId="184" formatCode="#,##0.00;[Red]\-#,##0.00;\-"/>
    <numFmt numFmtId="185" formatCode="#,##0;\-#,##0;\-"/>
    <numFmt numFmtId="186" formatCode="#,##0.0;[Red]\-#,##0.0;\-"/>
    <numFmt numFmtId="187" formatCode="_-* #,##0.0_р_._-;\-* #,##0.0_р_._-;_-* &quot;-&quot;?_р_._-;_-@_-"/>
    <numFmt numFmtId="188" formatCode="#,##0.000_ ;[Red]\-#,##0.000\ "/>
    <numFmt numFmtId="189" formatCode="0.0%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0.0"/>
    <numFmt numFmtId="196" formatCode="0.0000000000"/>
    <numFmt numFmtId="197" formatCode="0.00000000000"/>
    <numFmt numFmtId="198" formatCode="0.000000000000"/>
    <numFmt numFmtId="199" formatCode="0.000000000"/>
    <numFmt numFmtId="200" formatCode="0.00000000"/>
    <numFmt numFmtId="201" formatCode="#,##0.0000_ ;[Red]\-#,##0.0000\ "/>
    <numFmt numFmtId="202" formatCode="#,##0.0000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 Baltic"/>
      <family val="1"/>
    </font>
    <font>
      <sz val="10"/>
      <name val="Times New Roman Baltic"/>
      <family val="1"/>
    </font>
    <font>
      <b/>
      <sz val="10"/>
      <name val="Times New Roman Baltic"/>
      <family val="0"/>
    </font>
    <font>
      <b/>
      <sz val="12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 Baltic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i/>
      <sz val="10"/>
      <name val="Times New Roman Baltic"/>
      <family val="1"/>
    </font>
    <font>
      <sz val="11"/>
      <name val="Times New Roman Balt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4" fontId="6" fillId="34" borderId="19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8" fillId="0" borderId="26" xfId="0" applyFont="1" applyBorder="1" applyAlignment="1">
      <alignment wrapText="1"/>
    </xf>
    <xf numFmtId="4" fontId="5" fillId="33" borderId="12" xfId="0" applyNumberFormat="1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4" fontId="5" fillId="34" borderId="17" xfId="0" applyNumberFormat="1" applyFont="1" applyFill="1" applyBorder="1" applyAlignment="1">
      <alignment horizontal="center"/>
    </xf>
    <xf numFmtId="4" fontId="5" fillId="34" borderId="18" xfId="0" applyNumberFormat="1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 wrapText="1"/>
    </xf>
    <xf numFmtId="4" fontId="6" fillId="35" borderId="19" xfId="0" applyNumberFormat="1" applyFont="1" applyFill="1" applyBorder="1" applyAlignment="1">
      <alignment horizontal="center"/>
    </xf>
    <xf numFmtId="4" fontId="6" fillId="35" borderId="32" xfId="0" applyNumberFormat="1" applyFont="1" applyFill="1" applyBorder="1" applyAlignment="1">
      <alignment horizontal="center"/>
    </xf>
    <xf numFmtId="16" fontId="6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0" fontId="6" fillId="36" borderId="31" xfId="0" applyFont="1" applyFill="1" applyBorder="1" applyAlignment="1">
      <alignment horizontal="center"/>
    </xf>
    <xf numFmtId="4" fontId="9" fillId="36" borderId="19" xfId="0" applyNumberFormat="1" applyFont="1" applyFill="1" applyBorder="1" applyAlignment="1">
      <alignment horizontal="center"/>
    </xf>
    <xf numFmtId="4" fontId="5" fillId="36" borderId="19" xfId="0" applyNumberFormat="1" applyFont="1" applyFill="1" applyBorder="1" applyAlignment="1">
      <alignment horizontal="center"/>
    </xf>
    <xf numFmtId="4" fontId="9" fillId="36" borderId="32" xfId="0" applyNumberFormat="1" applyFont="1" applyFill="1" applyBorder="1" applyAlignment="1">
      <alignment horizontal="center"/>
    </xf>
    <xf numFmtId="4" fontId="6" fillId="36" borderId="19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/>
    </xf>
    <xf numFmtId="4" fontId="5" fillId="0" borderId="15" xfId="0" applyNumberFormat="1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11" fillId="34" borderId="3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1" fontId="12" fillId="0" borderId="24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/>
    </xf>
    <xf numFmtId="0" fontId="10" fillId="0" borderId="36" xfId="0" applyFont="1" applyFill="1" applyBorder="1" applyAlignment="1">
      <alignment vertical="center" wrapText="1"/>
    </xf>
    <xf numFmtId="0" fontId="5" fillId="0" borderId="36" xfId="0" applyFont="1" applyBorder="1" applyAlignment="1">
      <alignment wrapText="1"/>
    </xf>
    <xf numFmtId="4" fontId="5" fillId="0" borderId="37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vertical="center"/>
    </xf>
    <xf numFmtId="0" fontId="11" fillId="33" borderId="38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wrapText="1"/>
    </xf>
    <xf numFmtId="4" fontId="5" fillId="0" borderId="23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" fontId="12" fillId="0" borderId="17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4" fontId="5" fillId="36" borderId="12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 vertical="center"/>
    </xf>
    <xf numFmtId="1" fontId="11" fillId="36" borderId="31" xfId="0" applyNumberFormat="1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vertical="center" wrapText="1"/>
    </xf>
    <xf numFmtId="0" fontId="6" fillId="36" borderId="32" xfId="0" applyFont="1" applyFill="1" applyBorder="1" applyAlignment="1">
      <alignment horizontal="center"/>
    </xf>
    <xf numFmtId="4" fontId="16" fillId="36" borderId="19" xfId="0" applyNumberFormat="1" applyFont="1" applyFill="1" applyBorder="1" applyAlignment="1">
      <alignment horizontal="center"/>
    </xf>
    <xf numFmtId="4" fontId="16" fillId="36" borderId="32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/>
    </xf>
    <xf numFmtId="1" fontId="11" fillId="37" borderId="32" xfId="0" applyNumberFormat="1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vertical="center" wrapText="1"/>
    </xf>
    <xf numFmtId="0" fontId="6" fillId="37" borderId="32" xfId="0" applyFont="1" applyFill="1" applyBorder="1" applyAlignment="1">
      <alignment horizontal="center"/>
    </xf>
    <xf numFmtId="4" fontId="6" fillId="37" borderId="19" xfId="0" applyNumberFormat="1" applyFont="1" applyFill="1" applyBorder="1" applyAlignment="1">
      <alignment horizontal="center"/>
    </xf>
    <xf numFmtId="4" fontId="6" fillId="37" borderId="32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49" fontId="10" fillId="0" borderId="15" xfId="0" applyNumberFormat="1" applyFont="1" applyBorder="1" applyAlignment="1">
      <alignment vertical="center" wrapText="1"/>
    </xf>
    <xf numFmtId="0" fontId="5" fillId="0" borderId="14" xfId="0" applyFont="1" applyBorder="1" applyAlignment="1">
      <alignment/>
    </xf>
    <xf numFmtId="49" fontId="10" fillId="0" borderId="14" xfId="0" applyNumberFormat="1" applyFont="1" applyBorder="1" applyAlignment="1">
      <alignment vertical="center" wrapText="1"/>
    </xf>
    <xf numFmtId="0" fontId="11" fillId="38" borderId="32" xfId="0" applyFont="1" applyFill="1" applyBorder="1" applyAlignment="1">
      <alignment horizontal="center"/>
    </xf>
    <xf numFmtId="0" fontId="11" fillId="38" borderId="32" xfId="0" applyFont="1" applyFill="1" applyBorder="1" applyAlignment="1">
      <alignment/>
    </xf>
    <xf numFmtId="0" fontId="6" fillId="38" borderId="32" xfId="0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38" borderId="19" xfId="0" applyNumberFormat="1" applyFont="1" applyFill="1" applyBorder="1" applyAlignment="1">
      <alignment horizontal="center"/>
    </xf>
    <xf numFmtId="0" fontId="5" fillId="38" borderId="19" xfId="0" applyFont="1" applyFill="1" applyBorder="1" applyAlignment="1">
      <alignment/>
    </xf>
    <xf numFmtId="4" fontId="5" fillId="38" borderId="32" xfId="0" applyNumberFormat="1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2" xfId="0" applyFont="1" applyFill="1" applyBorder="1" applyAlignment="1">
      <alignment wrapText="1"/>
    </xf>
    <xf numFmtId="4" fontId="5" fillId="34" borderId="19" xfId="0" applyNumberFormat="1" applyFont="1" applyFill="1" applyBorder="1" applyAlignment="1">
      <alignment horizontal="center"/>
    </xf>
    <xf numFmtId="4" fontId="5" fillId="34" borderId="3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17" fillId="0" borderId="42" xfId="0" applyFont="1" applyBorder="1" applyAlignment="1">
      <alignment wrapText="1"/>
    </xf>
    <xf numFmtId="0" fontId="6" fillId="39" borderId="14" xfId="0" applyFont="1" applyFill="1" applyBorder="1" applyAlignment="1">
      <alignment horizontal="center"/>
    </xf>
    <xf numFmtId="0" fontId="6" fillId="39" borderId="43" xfId="0" applyFont="1" applyFill="1" applyBorder="1" applyAlignment="1">
      <alignment wrapText="1"/>
    </xf>
    <xf numFmtId="0" fontId="6" fillId="39" borderId="27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13" fillId="0" borderId="14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4" fontId="5" fillId="33" borderId="23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center"/>
    </xf>
    <xf numFmtId="0" fontId="6" fillId="0" borderId="47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9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5" fillId="0" borderId="49" xfId="0" applyNumberFormat="1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3" fontId="5" fillId="34" borderId="49" xfId="0" applyNumberFormat="1" applyFont="1" applyFill="1" applyBorder="1" applyAlignment="1">
      <alignment horizontal="center"/>
    </xf>
    <xf numFmtId="3" fontId="6" fillId="35" borderId="19" xfId="0" applyNumberFormat="1" applyFont="1" applyFill="1" applyBorder="1" applyAlignment="1">
      <alignment horizontal="center"/>
    </xf>
    <xf numFmtId="3" fontId="6" fillId="36" borderId="19" xfId="0" applyNumberFormat="1" applyFont="1" applyFill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9" fillId="34" borderId="19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16" fillId="36" borderId="19" xfId="0" applyNumberFormat="1" applyFont="1" applyFill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6" fillId="37" borderId="46" xfId="0" applyNumberFormat="1" applyFont="1" applyFill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38" borderId="19" xfId="0" applyNumberFormat="1" applyFont="1" applyFill="1" applyBorder="1" applyAlignment="1">
      <alignment horizontal="center"/>
    </xf>
    <xf numFmtId="3" fontId="5" fillId="34" borderId="19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6" fillId="37" borderId="19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tabSelected="1" zoomScalePageLayoutView="0" workbookViewId="0" topLeftCell="A14">
      <selection activeCell="I74" sqref="I74"/>
    </sheetView>
  </sheetViews>
  <sheetFormatPr defaultColWidth="9.140625" defaultRowHeight="12.75"/>
  <cols>
    <col min="1" max="1" width="5.00390625" style="7" customWidth="1"/>
    <col min="2" max="2" width="5.57421875" style="7" customWidth="1"/>
    <col min="3" max="3" width="61.421875" style="7" customWidth="1"/>
    <col min="4" max="4" width="10.28125" style="7" customWidth="1"/>
    <col min="5" max="5" width="16.421875" style="144" hidden="1" customWidth="1"/>
    <col min="6" max="6" width="15.28125" style="144" hidden="1" customWidth="1"/>
    <col min="7" max="7" width="12.57421875" style="7" hidden="1" customWidth="1"/>
    <col min="8" max="8" width="17.140625" style="7" hidden="1" customWidth="1"/>
    <col min="9" max="9" width="17.421875" style="7" customWidth="1"/>
    <col min="10" max="10" width="10.28125" style="7" hidden="1" customWidth="1"/>
    <col min="11" max="11" width="14.8515625" style="145" customWidth="1"/>
    <col min="12" max="12" width="13.57421875" style="7" customWidth="1"/>
    <col min="13" max="16384" width="9.140625" style="7" customWidth="1"/>
  </cols>
  <sheetData>
    <row r="1" spans="2:11" s="1" customFormat="1" ht="17.25" customHeight="1" thickBot="1">
      <c r="B1" s="195" t="s">
        <v>86</v>
      </c>
      <c r="C1" s="195"/>
      <c r="D1" s="195"/>
      <c r="E1" s="195"/>
      <c r="F1" s="195"/>
      <c r="G1" s="195"/>
      <c r="H1" s="195"/>
      <c r="I1" s="195"/>
      <c r="K1" s="146"/>
    </row>
    <row r="2" spans="2:11" ht="12.75" customHeight="1" thickBot="1">
      <c r="B2" s="2" t="s">
        <v>0</v>
      </c>
      <c r="C2" s="2" t="s">
        <v>1</v>
      </c>
      <c r="D2" s="2" t="s">
        <v>2</v>
      </c>
      <c r="E2" s="3"/>
      <c r="F2" s="3" t="s">
        <v>3</v>
      </c>
      <c r="G2" s="154" t="s">
        <v>4</v>
      </c>
      <c r="H2" s="5" t="s">
        <v>82</v>
      </c>
      <c r="I2" s="155" t="s">
        <v>83</v>
      </c>
      <c r="J2" s="156"/>
      <c r="K2" s="157" t="s">
        <v>84</v>
      </c>
    </row>
    <row r="3" spans="2:11" ht="10.5" customHeight="1">
      <c r="B3" s="8"/>
      <c r="C3" s="8"/>
      <c r="D3" s="8"/>
      <c r="E3" s="9" t="s">
        <v>5</v>
      </c>
      <c r="F3" s="9" t="s">
        <v>6</v>
      </c>
      <c r="G3" s="158">
        <f>G14+G45+G55+G59</f>
        <v>311414.24000000005</v>
      </c>
      <c r="H3" s="11" t="s">
        <v>5</v>
      </c>
      <c r="I3" s="3" t="s">
        <v>3</v>
      </c>
      <c r="J3" s="159"/>
      <c r="K3" s="160" t="s">
        <v>85</v>
      </c>
    </row>
    <row r="4" spans="2:11" ht="11.25" customHeight="1">
      <c r="B4" s="12"/>
      <c r="C4" s="8"/>
      <c r="D4" s="12"/>
      <c r="E4" s="6">
        <f aca="true" t="shared" si="0" ref="E4:J4">E6+E13</f>
        <v>262600</v>
      </c>
      <c r="F4" s="6">
        <f t="shared" si="0"/>
        <v>303848.45999999996</v>
      </c>
      <c r="G4" s="161">
        <f t="shared" si="0"/>
        <v>311422.9200000001</v>
      </c>
      <c r="H4" s="14">
        <f t="shared" si="0"/>
        <v>299148</v>
      </c>
      <c r="I4" s="6">
        <f t="shared" si="0"/>
        <v>351798</v>
      </c>
      <c r="J4" s="6">
        <f t="shared" si="0"/>
        <v>0</v>
      </c>
      <c r="K4" s="6">
        <f>K6+K13</f>
        <v>355168.9959999999</v>
      </c>
    </row>
    <row r="5" spans="2:11" ht="14.25" customHeight="1" thickBot="1">
      <c r="B5" s="15"/>
      <c r="C5" s="16" t="s">
        <v>7</v>
      </c>
      <c r="D5" s="15" t="s">
        <v>8</v>
      </c>
      <c r="E5" s="17" t="s">
        <v>5</v>
      </c>
      <c r="F5" s="18">
        <f>1098738+94817</f>
        <v>1193555</v>
      </c>
      <c r="G5" s="159">
        <v>1200853</v>
      </c>
      <c r="H5" s="15">
        <v>1276072</v>
      </c>
      <c r="I5" s="9">
        <v>1276072</v>
      </c>
      <c r="J5" s="159"/>
      <c r="K5" s="162">
        <v>1285605</v>
      </c>
    </row>
    <row r="6" spans="2:11" s="23" customFormat="1" ht="16.5" thickBot="1">
      <c r="B6" s="19">
        <v>1</v>
      </c>
      <c r="C6" s="20" t="s">
        <v>9</v>
      </c>
      <c r="D6" s="19" t="s">
        <v>10</v>
      </c>
      <c r="E6" s="21">
        <f aca="true" t="shared" si="1" ref="E6:K6">E7+E8+E9+E10+E11+E12</f>
        <v>258899.99999999997</v>
      </c>
      <c r="F6" s="22">
        <f t="shared" si="1"/>
        <v>300148.45999999996</v>
      </c>
      <c r="G6" s="22">
        <f t="shared" si="1"/>
        <v>294686.7100000001</v>
      </c>
      <c r="H6" s="21">
        <f t="shared" si="1"/>
        <v>293000</v>
      </c>
      <c r="I6" s="22">
        <f t="shared" si="1"/>
        <v>345650</v>
      </c>
      <c r="J6" s="22">
        <f t="shared" si="1"/>
        <v>0</v>
      </c>
      <c r="K6" s="150">
        <f t="shared" si="1"/>
        <v>349036.9959999999</v>
      </c>
    </row>
    <row r="7" spans="2:11" ht="29.25" customHeight="1">
      <c r="B7" s="24" t="s">
        <v>11</v>
      </c>
      <c r="C7" s="25" t="s">
        <v>12</v>
      </c>
      <c r="D7" s="26" t="s">
        <v>10</v>
      </c>
      <c r="E7" s="27">
        <v>208290.46</v>
      </c>
      <c r="F7" s="28">
        <v>245783</v>
      </c>
      <c r="G7" s="158">
        <v>238756.94</v>
      </c>
      <c r="H7" s="29">
        <v>245495.3</v>
      </c>
      <c r="I7" s="181">
        <f>H7*1.18</f>
        <v>289684.45399999997</v>
      </c>
      <c r="J7" s="159"/>
      <c r="K7" s="162">
        <v>290573.019</v>
      </c>
    </row>
    <row r="8" spans="2:11" ht="32.25" customHeight="1">
      <c r="B8" s="30" t="s">
        <v>13</v>
      </c>
      <c r="C8" s="31" t="s">
        <v>14</v>
      </c>
      <c r="D8" s="32" t="s">
        <v>10</v>
      </c>
      <c r="E8" s="9">
        <v>14174.58</v>
      </c>
      <c r="F8" s="9">
        <v>16726</v>
      </c>
      <c r="G8" s="159">
        <v>18300.95</v>
      </c>
      <c r="H8" s="33">
        <v>14137.47</v>
      </c>
      <c r="I8" s="182">
        <f>H8*1.18</f>
        <v>16682.2146</v>
      </c>
      <c r="J8" s="159"/>
      <c r="K8" s="162">
        <v>17989.44</v>
      </c>
    </row>
    <row r="9" spans="2:11" ht="18" customHeight="1">
      <c r="B9" s="30" t="s">
        <v>15</v>
      </c>
      <c r="C9" s="35" t="s">
        <v>16</v>
      </c>
      <c r="D9" s="32" t="s">
        <v>10</v>
      </c>
      <c r="E9" s="9">
        <v>6691.63</v>
      </c>
      <c r="F9" s="9">
        <v>7896.13</v>
      </c>
      <c r="G9" s="159">
        <v>6553.84</v>
      </c>
      <c r="H9" s="33">
        <v>8700</v>
      </c>
      <c r="I9" s="182">
        <f>H9*1.18</f>
        <v>10266</v>
      </c>
      <c r="J9" s="159"/>
      <c r="K9" s="162">
        <v>9219.38</v>
      </c>
    </row>
    <row r="10" spans="2:11" ht="17.25" customHeight="1">
      <c r="B10" s="30" t="s">
        <v>17</v>
      </c>
      <c r="C10" s="35" t="s">
        <v>18</v>
      </c>
      <c r="D10" s="32" t="s">
        <v>10</v>
      </c>
      <c r="E10" s="9">
        <v>1762.8</v>
      </c>
      <c r="F10" s="36">
        <v>1762.8</v>
      </c>
      <c r="G10" s="159">
        <v>538.59</v>
      </c>
      <c r="H10" s="33">
        <v>667.23</v>
      </c>
      <c r="I10" s="182">
        <f>H10*1.18</f>
        <v>787.3314</v>
      </c>
      <c r="J10" s="159"/>
      <c r="K10" s="162">
        <v>752.377</v>
      </c>
    </row>
    <row r="11" spans="2:11" ht="24.75" customHeight="1">
      <c r="B11" s="30" t="s">
        <v>19</v>
      </c>
      <c r="C11" s="31" t="s">
        <v>20</v>
      </c>
      <c r="D11" s="32" t="s">
        <v>10</v>
      </c>
      <c r="E11" s="9">
        <v>450</v>
      </c>
      <c r="F11" s="36">
        <v>450</v>
      </c>
      <c r="G11" s="159">
        <v>410.12</v>
      </c>
      <c r="H11" s="33">
        <v>500</v>
      </c>
      <c r="I11" s="182">
        <v>500</v>
      </c>
      <c r="J11" s="159"/>
      <c r="K11" s="162">
        <v>472.48</v>
      </c>
    </row>
    <row r="12" spans="2:11" ht="18" customHeight="1">
      <c r="B12" s="30" t="s">
        <v>21</v>
      </c>
      <c r="C12" s="31" t="s">
        <v>22</v>
      </c>
      <c r="D12" s="32" t="s">
        <v>10</v>
      </c>
      <c r="E12" s="9">
        <v>27530.53</v>
      </c>
      <c r="F12" s="34">
        <v>27530.53</v>
      </c>
      <c r="G12" s="159">
        <v>30126.27</v>
      </c>
      <c r="H12" s="33">
        <v>23500</v>
      </c>
      <c r="I12" s="182">
        <f>H12*1.18</f>
        <v>27730</v>
      </c>
      <c r="J12" s="159"/>
      <c r="K12" s="162">
        <f>54+827.5+29148.8</f>
        <v>30030.3</v>
      </c>
    </row>
    <row r="13" spans="2:11" ht="18" customHeight="1" thickBot="1">
      <c r="B13" s="37">
        <v>1.7</v>
      </c>
      <c r="C13" s="38" t="s">
        <v>23</v>
      </c>
      <c r="D13" s="39" t="s">
        <v>10</v>
      </c>
      <c r="E13" s="40">
        <v>3700</v>
      </c>
      <c r="F13" s="41">
        <v>3700</v>
      </c>
      <c r="G13" s="163">
        <v>16736.21</v>
      </c>
      <c r="H13" s="42">
        <v>6148</v>
      </c>
      <c r="I13" s="183">
        <f>H13</f>
        <v>6148</v>
      </c>
      <c r="J13" s="159"/>
      <c r="K13" s="167">
        <v>6132</v>
      </c>
    </row>
    <row r="14" spans="2:13" s="4" customFormat="1" ht="16.5" thickBot="1">
      <c r="B14" s="43">
        <v>2</v>
      </c>
      <c r="C14" s="44" t="s">
        <v>24</v>
      </c>
      <c r="D14" s="43" t="s">
        <v>10</v>
      </c>
      <c r="E14" s="45">
        <f aca="true" t="shared" si="2" ref="E14:K14">E15+E24+E46</f>
        <v>221854.3228813559</v>
      </c>
      <c r="F14" s="45">
        <f t="shared" si="2"/>
        <v>241505.35998</v>
      </c>
      <c r="G14" s="45">
        <f t="shared" si="2"/>
        <v>229719.23</v>
      </c>
      <c r="H14" s="46">
        <f t="shared" si="2"/>
        <v>243696.99916949152</v>
      </c>
      <c r="I14" s="168">
        <f t="shared" si="2"/>
        <v>267793.27900000004</v>
      </c>
      <c r="J14" s="45">
        <f t="shared" si="2"/>
        <v>110140.89</v>
      </c>
      <c r="K14" s="168">
        <f t="shared" si="2"/>
        <v>265288.024</v>
      </c>
      <c r="M14" s="13"/>
    </row>
    <row r="15" spans="2:11" ht="17.25" customHeight="1" thickBot="1">
      <c r="B15" s="47" t="s">
        <v>25</v>
      </c>
      <c r="C15" s="48" t="s">
        <v>26</v>
      </c>
      <c r="D15" s="49" t="s">
        <v>10</v>
      </c>
      <c r="E15" s="50">
        <f aca="true" t="shared" si="3" ref="E15:K15">E16+E17+E18+E19+E20+E21+E22+E23</f>
        <v>55018.77322033899</v>
      </c>
      <c r="F15" s="51">
        <f t="shared" si="3"/>
        <v>60681.40698</v>
      </c>
      <c r="G15" s="51">
        <f t="shared" si="3"/>
        <v>60687.06</v>
      </c>
      <c r="H15" s="52">
        <f t="shared" si="3"/>
        <v>59937.42383050848</v>
      </c>
      <c r="I15" s="169">
        <f t="shared" si="3"/>
        <v>70411.444</v>
      </c>
      <c r="J15" s="53">
        <f t="shared" si="3"/>
        <v>19852</v>
      </c>
      <c r="K15" s="169">
        <f t="shared" si="3"/>
        <v>75678.43</v>
      </c>
    </row>
    <row r="16" spans="2:11" ht="12.75">
      <c r="B16" s="54"/>
      <c r="C16" s="55" t="s">
        <v>27</v>
      </c>
      <c r="D16" s="8" t="s">
        <v>10</v>
      </c>
      <c r="E16" s="27">
        <v>18094.99</v>
      </c>
      <c r="F16" s="27">
        <v>18094.99</v>
      </c>
      <c r="G16" s="159">
        <v>19049.03</v>
      </c>
      <c r="H16" s="56">
        <v>19852</v>
      </c>
      <c r="I16" s="184">
        <v>19852</v>
      </c>
      <c r="J16" s="158">
        <f>I16</f>
        <v>19852</v>
      </c>
      <c r="K16" s="170">
        <v>16772.73</v>
      </c>
    </row>
    <row r="17" spans="2:11" ht="12.75">
      <c r="B17" s="54"/>
      <c r="C17" s="55" t="s">
        <v>28</v>
      </c>
      <c r="D17" s="15" t="s">
        <v>10</v>
      </c>
      <c r="E17" s="9">
        <v>5464.69</v>
      </c>
      <c r="F17" s="9">
        <f>F16*0.302</f>
        <v>5464.68698</v>
      </c>
      <c r="G17" s="158">
        <v>5752.81</v>
      </c>
      <c r="H17" s="11">
        <f>I17</f>
        <v>5995.304</v>
      </c>
      <c r="I17" s="185">
        <f>I16*0.302</f>
        <v>5995.304</v>
      </c>
      <c r="J17" s="159"/>
      <c r="K17" s="170">
        <v>5065.36</v>
      </c>
    </row>
    <row r="18" spans="2:11" ht="29.25" customHeight="1">
      <c r="B18" s="57"/>
      <c r="C18" s="58" t="s">
        <v>29</v>
      </c>
      <c r="D18" s="15" t="s">
        <v>10</v>
      </c>
      <c r="E18" s="9">
        <f aca="true" t="shared" si="4" ref="E18:E23">F18/1.18</f>
        <v>5762.71186440678</v>
      </c>
      <c r="F18" s="9">
        <v>6800</v>
      </c>
      <c r="G18" s="159">
        <v>6755.44</v>
      </c>
      <c r="H18" s="11">
        <v>5700.85</v>
      </c>
      <c r="I18" s="185">
        <v>9727</v>
      </c>
      <c r="J18" s="159"/>
      <c r="K18" s="170">
        <v>8393.36</v>
      </c>
    </row>
    <row r="19" spans="2:11" ht="19.5" customHeight="1">
      <c r="B19" s="57"/>
      <c r="C19" s="58" t="s">
        <v>30</v>
      </c>
      <c r="D19" s="15" t="s">
        <v>10</v>
      </c>
      <c r="E19" s="9">
        <f t="shared" si="4"/>
        <v>593.2203389830509</v>
      </c>
      <c r="F19" s="9">
        <v>700</v>
      </c>
      <c r="G19" s="159">
        <v>974.52</v>
      </c>
      <c r="H19" s="11">
        <f>I19/1.18</f>
        <v>822.3898305084746</v>
      </c>
      <c r="I19" s="185">
        <v>970.42</v>
      </c>
      <c r="J19" s="159"/>
      <c r="K19" s="170">
        <v>421.6</v>
      </c>
    </row>
    <row r="20" spans="2:11" ht="12.75">
      <c r="B20" s="57"/>
      <c r="C20" s="58" t="s">
        <v>31</v>
      </c>
      <c r="D20" s="15" t="s">
        <v>10</v>
      </c>
      <c r="E20" s="9">
        <f t="shared" si="4"/>
        <v>42.37288135593221</v>
      </c>
      <c r="F20" s="9">
        <v>50</v>
      </c>
      <c r="G20" s="159">
        <v>15.77</v>
      </c>
      <c r="H20" s="11">
        <v>100.5</v>
      </c>
      <c r="I20" s="185">
        <v>118.59</v>
      </c>
      <c r="J20" s="159"/>
      <c r="K20" s="170">
        <v>252.85</v>
      </c>
    </row>
    <row r="21" spans="2:11" ht="18.75" customHeight="1">
      <c r="B21" s="57"/>
      <c r="C21" s="58" t="s">
        <v>32</v>
      </c>
      <c r="D21" s="15" t="s">
        <v>10</v>
      </c>
      <c r="E21" s="9">
        <f t="shared" si="4"/>
        <v>847.4576271186442</v>
      </c>
      <c r="F21" s="9">
        <v>1000</v>
      </c>
      <c r="G21" s="159">
        <v>1451.29</v>
      </c>
      <c r="H21" s="11">
        <v>1224.73</v>
      </c>
      <c r="I21" s="185">
        <v>2445.18</v>
      </c>
      <c r="J21" s="159"/>
      <c r="K21" s="170">
        <v>1572.57</v>
      </c>
    </row>
    <row r="22" spans="2:11" ht="12.75">
      <c r="B22" s="57"/>
      <c r="C22" s="58" t="s">
        <v>33</v>
      </c>
      <c r="D22" s="15" t="s">
        <v>10</v>
      </c>
      <c r="E22" s="9">
        <f t="shared" si="4"/>
        <v>84.74576271186442</v>
      </c>
      <c r="F22" s="9">
        <v>100</v>
      </c>
      <c r="G22" s="159">
        <v>61.4</v>
      </c>
      <c r="H22" s="11">
        <v>267</v>
      </c>
      <c r="I22" s="185">
        <v>652.86</v>
      </c>
      <c r="J22" s="159"/>
      <c r="K22" s="170">
        <v>185.49</v>
      </c>
    </row>
    <row r="23" spans="2:11" ht="16.5" customHeight="1" thickBot="1">
      <c r="B23" s="59"/>
      <c r="C23" s="60" t="s">
        <v>34</v>
      </c>
      <c r="D23" s="15" t="s">
        <v>10</v>
      </c>
      <c r="E23" s="61">
        <f t="shared" si="4"/>
        <v>24128.584745762713</v>
      </c>
      <c r="F23" s="61">
        <v>28471.73</v>
      </c>
      <c r="G23" s="159">
        <v>26626.8</v>
      </c>
      <c r="H23" s="62">
        <v>25974.65</v>
      </c>
      <c r="I23" s="186">
        <v>30650.09</v>
      </c>
      <c r="J23" s="159"/>
      <c r="K23" s="170">
        <v>43014.47</v>
      </c>
    </row>
    <row r="24" spans="2:11" ht="15" thickBot="1">
      <c r="B24" s="63" t="s">
        <v>35</v>
      </c>
      <c r="C24" s="64" t="s">
        <v>36</v>
      </c>
      <c r="D24" s="65" t="s">
        <v>10</v>
      </c>
      <c r="E24" s="66">
        <f aca="true" t="shared" si="5" ref="E24:K24">E25+E26+E27+E28+E29+E31+E32+E33</f>
        <v>123547.0861016949</v>
      </c>
      <c r="F24" s="66">
        <f t="shared" si="5"/>
        <v>129743.56599999999</v>
      </c>
      <c r="G24" s="66">
        <f t="shared" si="5"/>
        <v>118769.89</v>
      </c>
      <c r="H24" s="67">
        <f t="shared" si="5"/>
        <v>139916.00372881355</v>
      </c>
      <c r="I24" s="171">
        <f t="shared" si="5"/>
        <v>145654.102</v>
      </c>
      <c r="J24" s="66">
        <f t="shared" si="5"/>
        <v>90288.89</v>
      </c>
      <c r="K24" s="171">
        <f t="shared" si="5"/>
        <v>127176.638</v>
      </c>
    </row>
    <row r="25" spans="2:11" ht="12.75">
      <c r="B25" s="68"/>
      <c r="C25" s="69" t="s">
        <v>37</v>
      </c>
      <c r="D25" s="70" t="s">
        <v>10</v>
      </c>
      <c r="E25" s="27">
        <v>69250</v>
      </c>
      <c r="F25" s="28">
        <v>69250</v>
      </c>
      <c r="G25" s="158">
        <v>70878.38</v>
      </c>
      <c r="H25" s="56">
        <f>I25</f>
        <v>88070</v>
      </c>
      <c r="I25" s="187">
        <v>88070</v>
      </c>
      <c r="J25" s="158">
        <f>94730.83-I16</f>
        <v>74878.83</v>
      </c>
      <c r="K25" s="170">
        <f>97659.34-16772.73</f>
        <v>80886.61</v>
      </c>
    </row>
    <row r="26" spans="2:11" ht="12.75">
      <c r="B26" s="71"/>
      <c r="C26" s="72" t="s">
        <v>28</v>
      </c>
      <c r="D26" s="73" t="s">
        <v>10</v>
      </c>
      <c r="E26" s="9">
        <v>20913.5</v>
      </c>
      <c r="F26" s="9">
        <f>F25*0.302</f>
        <v>20913.5</v>
      </c>
      <c r="G26" s="158">
        <v>20875.11</v>
      </c>
      <c r="H26" s="11">
        <f>I26</f>
        <v>26597.14</v>
      </c>
      <c r="I26" s="185">
        <f>I25*0.302</f>
        <v>26597.14</v>
      </c>
      <c r="J26" s="159"/>
      <c r="K26" s="170">
        <f>29192.91-5065.36</f>
        <v>24127.55</v>
      </c>
    </row>
    <row r="27" spans="2:11" ht="30" customHeight="1">
      <c r="B27" s="71"/>
      <c r="C27" s="74" t="s">
        <v>38</v>
      </c>
      <c r="D27" s="73" t="s">
        <v>10</v>
      </c>
      <c r="E27" s="9">
        <f>F27/1.18</f>
        <v>4406.77966101695</v>
      </c>
      <c r="F27" s="9">
        <v>5200</v>
      </c>
      <c r="G27" s="158">
        <v>1986.51</v>
      </c>
      <c r="H27" s="11">
        <f>I27/1.18+252.54</f>
        <v>5068.692542372882</v>
      </c>
      <c r="I27" s="185">
        <v>5683.06</v>
      </c>
      <c r="J27" s="158">
        <f>I18+I27</f>
        <v>15410.060000000001</v>
      </c>
      <c r="K27" s="170">
        <f>10392.73-8393.36-1572.57+168.24+68.33</f>
        <v>663.3699999999991</v>
      </c>
    </row>
    <row r="28" spans="2:11" ht="63.75" customHeight="1">
      <c r="B28" s="71"/>
      <c r="C28" s="75" t="s">
        <v>39</v>
      </c>
      <c r="D28" s="76" t="s">
        <v>10</v>
      </c>
      <c r="E28" s="9">
        <f>F28/1.18</f>
        <v>7203.389830508475</v>
      </c>
      <c r="F28" s="9">
        <v>8500</v>
      </c>
      <c r="G28" s="164">
        <v>11478.84</v>
      </c>
      <c r="H28" s="11">
        <v>5200</v>
      </c>
      <c r="I28" s="185">
        <f>6200+109.44</f>
        <v>6309.44</v>
      </c>
      <c r="J28" s="159"/>
      <c r="K28" s="170">
        <f>1071.1+163.037+437.93+777.676+2741.23+919.45+1239.725+39.6+198.86-49.9-14.84</f>
        <v>7523.8679999999995</v>
      </c>
    </row>
    <row r="29" spans="2:11" ht="28.5" customHeight="1">
      <c r="B29" s="71"/>
      <c r="C29" s="77" t="s">
        <v>40</v>
      </c>
      <c r="D29" s="76" t="s">
        <v>10</v>
      </c>
      <c r="E29" s="34">
        <v>1364.43</v>
      </c>
      <c r="F29" s="9">
        <v>1610.03</v>
      </c>
      <c r="G29" s="158">
        <v>279.88</v>
      </c>
      <c r="H29" s="11">
        <f>I29/1.18</f>
        <v>423.7288135593221</v>
      </c>
      <c r="I29" s="185">
        <v>500</v>
      </c>
      <c r="J29" s="159"/>
      <c r="K29" s="170">
        <f>231.38+587.36</f>
        <v>818.74</v>
      </c>
    </row>
    <row r="30" spans="2:11" ht="12.75" hidden="1">
      <c r="B30" s="71"/>
      <c r="C30" s="77" t="s">
        <v>41</v>
      </c>
      <c r="D30" s="76" t="s">
        <v>10</v>
      </c>
      <c r="E30" s="34"/>
      <c r="F30" s="9"/>
      <c r="G30" s="158"/>
      <c r="H30" s="33"/>
      <c r="I30" s="185"/>
      <c r="J30" s="159"/>
      <c r="K30" s="170"/>
    </row>
    <row r="31" spans="2:11" ht="12.75">
      <c r="B31" s="71"/>
      <c r="C31" s="78" t="s">
        <v>42</v>
      </c>
      <c r="D31" s="73" t="s">
        <v>10</v>
      </c>
      <c r="E31" s="9">
        <f>F31/1.18</f>
        <v>5889.830508474576</v>
      </c>
      <c r="F31" s="9">
        <v>6950</v>
      </c>
      <c r="G31" s="158">
        <v>107.54</v>
      </c>
      <c r="H31" s="11">
        <v>4773</v>
      </c>
      <c r="I31" s="185">
        <v>6950</v>
      </c>
      <c r="J31" s="159"/>
      <c r="K31" s="170">
        <v>1931.275</v>
      </c>
    </row>
    <row r="32" spans="2:11" ht="13.5" thickBot="1">
      <c r="B32" s="71"/>
      <c r="C32" s="78" t="s">
        <v>43</v>
      </c>
      <c r="D32" s="73" t="s">
        <v>10</v>
      </c>
      <c r="E32" s="18">
        <f>F32/1.18</f>
        <v>665.2542372881356</v>
      </c>
      <c r="F32" s="18">
        <v>785</v>
      </c>
      <c r="G32" s="158">
        <v>0</v>
      </c>
      <c r="H32" s="79">
        <f>I32/1.18</f>
        <v>665.2542372881356</v>
      </c>
      <c r="I32" s="180">
        <v>785</v>
      </c>
      <c r="J32" s="159"/>
      <c r="K32" s="170">
        <v>0</v>
      </c>
    </row>
    <row r="33" spans="2:11" s="23" customFormat="1" ht="26.25" thickBot="1">
      <c r="B33" s="80"/>
      <c r="C33" s="81" t="s">
        <v>44</v>
      </c>
      <c r="D33" s="82" t="s">
        <v>10</v>
      </c>
      <c r="E33" s="83">
        <f aca="true" t="shared" si="6" ref="E33:K33">E37+E38+E39+E40+E41+E42+E43+E44</f>
        <v>13853.90186440678</v>
      </c>
      <c r="F33" s="83">
        <f t="shared" si="6"/>
        <v>16535.036</v>
      </c>
      <c r="G33" s="83">
        <f t="shared" si="6"/>
        <v>13163.630000000001</v>
      </c>
      <c r="H33" s="84">
        <f t="shared" si="6"/>
        <v>9118.18813559322</v>
      </c>
      <c r="I33" s="172">
        <f t="shared" si="6"/>
        <v>10759.462</v>
      </c>
      <c r="J33" s="83">
        <f t="shared" si="6"/>
        <v>0</v>
      </c>
      <c r="K33" s="172">
        <f t="shared" si="6"/>
        <v>11225.224999999999</v>
      </c>
    </row>
    <row r="34" spans="2:11" s="89" customFormat="1" ht="13.5" hidden="1">
      <c r="B34" s="85"/>
      <c r="C34" s="86" t="s">
        <v>45</v>
      </c>
      <c r="D34" s="12" t="s">
        <v>10</v>
      </c>
      <c r="E34" s="87"/>
      <c r="F34" s="88">
        <v>0</v>
      </c>
      <c r="G34" s="165"/>
      <c r="H34" s="90"/>
      <c r="I34" s="188">
        <v>0</v>
      </c>
      <c r="J34" s="165"/>
      <c r="K34" s="173"/>
    </row>
    <row r="35" spans="2:11" s="89" customFormat="1" ht="13.5" hidden="1">
      <c r="B35" s="85"/>
      <c r="C35" s="91" t="s">
        <v>46</v>
      </c>
      <c r="D35" s="12" t="s">
        <v>10</v>
      </c>
      <c r="E35" s="87"/>
      <c r="F35" s="92"/>
      <c r="G35" s="165"/>
      <c r="H35" s="93"/>
      <c r="I35" s="189"/>
      <c r="J35" s="165"/>
      <c r="K35" s="173"/>
    </row>
    <row r="36" spans="2:11" ht="12.75" hidden="1">
      <c r="B36" s="94"/>
      <c r="C36" s="95" t="s">
        <v>47</v>
      </c>
      <c r="D36" s="12" t="s">
        <v>10</v>
      </c>
      <c r="E36" s="9"/>
      <c r="F36" s="3">
        <v>0</v>
      </c>
      <c r="G36" s="159"/>
      <c r="H36" s="3"/>
      <c r="I36" s="190">
        <v>0</v>
      </c>
      <c r="J36" s="159"/>
      <c r="K36" s="170"/>
    </row>
    <row r="37" spans="2:11" ht="12.75" hidden="1">
      <c r="B37" s="94"/>
      <c r="C37" s="96" t="s">
        <v>48</v>
      </c>
      <c r="D37" s="73" t="s">
        <v>10</v>
      </c>
      <c r="E37" s="9">
        <f aca="true" t="shared" si="7" ref="E37:E43">F37/1.18</f>
        <v>681.4474576271186</v>
      </c>
      <c r="F37" s="9">
        <v>804.108</v>
      </c>
      <c r="G37" s="159">
        <v>733.66</v>
      </c>
      <c r="H37" s="9">
        <f aca="true" t="shared" si="8" ref="H37:H44">I37/1.18</f>
        <v>0</v>
      </c>
      <c r="I37" s="182">
        <v>0</v>
      </c>
      <c r="J37" s="159"/>
      <c r="K37" s="170"/>
    </row>
    <row r="38" spans="2:11" ht="12.75">
      <c r="B38" s="94"/>
      <c r="C38" s="96" t="s">
        <v>49</v>
      </c>
      <c r="D38" s="73" t="s">
        <v>10</v>
      </c>
      <c r="E38" s="9">
        <f t="shared" si="7"/>
        <v>139.31186440677968</v>
      </c>
      <c r="F38" s="97">
        <v>164.388</v>
      </c>
      <c r="G38" s="159">
        <v>77.5</v>
      </c>
      <c r="H38" s="9">
        <f t="shared" si="8"/>
        <v>136.90932203389832</v>
      </c>
      <c r="I38" s="182">
        <v>161.553</v>
      </c>
      <c r="J38" s="159"/>
      <c r="K38" s="170">
        <v>174.423</v>
      </c>
    </row>
    <row r="39" spans="2:11" ht="12.75">
      <c r="B39" s="94"/>
      <c r="C39" s="96" t="s">
        <v>50</v>
      </c>
      <c r="D39" s="73" t="s">
        <v>10</v>
      </c>
      <c r="E39" s="9">
        <f t="shared" si="7"/>
        <v>458.8584745762712</v>
      </c>
      <c r="F39" s="97">
        <v>541.453</v>
      </c>
      <c r="G39" s="159">
        <v>541.45</v>
      </c>
      <c r="H39" s="9">
        <f t="shared" si="8"/>
        <v>485.25932203389834</v>
      </c>
      <c r="I39" s="182">
        <v>572.606</v>
      </c>
      <c r="J39" s="159"/>
      <c r="K39" s="170">
        <v>481.72</v>
      </c>
    </row>
    <row r="40" spans="2:11" ht="12.75">
      <c r="B40" s="94"/>
      <c r="C40" s="96" t="s">
        <v>51</v>
      </c>
      <c r="D40" s="73" t="s">
        <v>10</v>
      </c>
      <c r="E40" s="9">
        <f t="shared" si="7"/>
        <v>763.0110169491527</v>
      </c>
      <c r="F40" s="9">
        <f>334.075+566.278</f>
        <v>900.3530000000001</v>
      </c>
      <c r="G40" s="159">
        <v>968.44</v>
      </c>
      <c r="H40" s="9">
        <f t="shared" si="8"/>
        <v>716.3584745762712</v>
      </c>
      <c r="I40" s="182">
        <v>845.303</v>
      </c>
      <c r="J40" s="159"/>
      <c r="K40" s="170">
        <v>748.91</v>
      </c>
    </row>
    <row r="41" spans="2:11" ht="12.75">
      <c r="B41" s="94"/>
      <c r="C41" s="96" t="s">
        <v>52</v>
      </c>
      <c r="D41" s="73" t="s">
        <v>10</v>
      </c>
      <c r="E41" s="9">
        <f t="shared" si="7"/>
        <v>204.4728813559322</v>
      </c>
      <c r="F41" s="97">
        <v>241.278</v>
      </c>
      <c r="G41" s="159">
        <v>164.59</v>
      </c>
      <c r="H41" s="9">
        <f t="shared" si="8"/>
        <v>0</v>
      </c>
      <c r="I41" s="182">
        <v>0</v>
      </c>
      <c r="J41" s="159"/>
      <c r="K41" s="170">
        <v>0</v>
      </c>
    </row>
    <row r="42" spans="2:11" ht="25.5">
      <c r="B42" s="94"/>
      <c r="C42" s="86" t="s">
        <v>53</v>
      </c>
      <c r="D42" s="73" t="s">
        <v>10</v>
      </c>
      <c r="E42" s="9">
        <f t="shared" si="7"/>
        <v>55.08474576271187</v>
      </c>
      <c r="F42" s="9">
        <v>65</v>
      </c>
      <c r="G42" s="159">
        <v>11.11</v>
      </c>
      <c r="H42" s="9">
        <f t="shared" si="8"/>
        <v>55.08474576271187</v>
      </c>
      <c r="I42" s="182">
        <v>65</v>
      </c>
      <c r="J42" s="159"/>
      <c r="K42" s="170">
        <v>9.1</v>
      </c>
    </row>
    <row r="43" spans="2:11" ht="27" customHeight="1">
      <c r="B43" s="94"/>
      <c r="C43" s="86" t="s">
        <v>54</v>
      </c>
      <c r="D43" s="73" t="s">
        <v>10</v>
      </c>
      <c r="E43" s="9">
        <f t="shared" si="7"/>
        <v>6039.325423728814</v>
      </c>
      <c r="F43" s="9">
        <f>593.867*12</f>
        <v>7126.4039999999995</v>
      </c>
      <c r="G43" s="159">
        <v>5036.61</v>
      </c>
      <c r="H43" s="9">
        <f t="shared" si="8"/>
        <v>4224.576271186441</v>
      </c>
      <c r="I43" s="182">
        <v>4985</v>
      </c>
      <c r="J43" s="159"/>
      <c r="K43" s="170">
        <v>4153.54</v>
      </c>
    </row>
    <row r="44" spans="2:11" ht="35.25" customHeight="1">
      <c r="B44" s="94"/>
      <c r="C44" s="86" t="s">
        <v>55</v>
      </c>
      <c r="D44" s="73" t="s">
        <v>10</v>
      </c>
      <c r="E44" s="9">
        <v>5512.39</v>
      </c>
      <c r="F44" s="9">
        <f>6520.15+171.902</f>
        <v>6692.052</v>
      </c>
      <c r="G44" s="159">
        <v>5630.27</v>
      </c>
      <c r="H44" s="9">
        <f t="shared" si="8"/>
        <v>3500</v>
      </c>
      <c r="I44" s="182">
        <v>4130</v>
      </c>
      <c r="J44" s="159"/>
      <c r="K44" s="170">
        <f>248.49+5409.042</f>
        <v>5657.532</v>
      </c>
    </row>
    <row r="45" spans="2:11" ht="41.25" customHeight="1" thickBot="1">
      <c r="B45" s="98"/>
      <c r="C45" s="166" t="s">
        <v>56</v>
      </c>
      <c r="D45" s="73" t="s">
        <v>10</v>
      </c>
      <c r="E45" s="40">
        <v>4500</v>
      </c>
      <c r="F45" s="41">
        <v>4500</v>
      </c>
      <c r="G45" s="163">
        <v>20254.57</v>
      </c>
      <c r="H45" s="41">
        <v>15500</v>
      </c>
      <c r="I45" s="183">
        <v>15500</v>
      </c>
      <c r="J45" s="159"/>
      <c r="K45" s="167">
        <v>18438.95</v>
      </c>
    </row>
    <row r="46" spans="2:13" ht="25.5" customHeight="1" thickBot="1">
      <c r="B46" s="99" t="s">
        <v>35</v>
      </c>
      <c r="C46" s="100" t="s">
        <v>44</v>
      </c>
      <c r="D46" s="101" t="s">
        <v>10</v>
      </c>
      <c r="E46" s="102">
        <f>E47+E49+E50+E51+E52+E53+E54</f>
        <v>43288.46355932204</v>
      </c>
      <c r="F46" s="102">
        <f>F47+F49+F50+F51+F52+F53+F54</f>
        <v>51080.387</v>
      </c>
      <c r="G46" s="102">
        <f>G47+G49+G50+G51+G52+G53+G54</f>
        <v>50262.28</v>
      </c>
      <c r="H46" s="103">
        <f>H47+H49+H50+H51+H52+H53+H54+H48</f>
        <v>43843.57161016949</v>
      </c>
      <c r="I46" s="174">
        <f>I47+I49+I50+I51+I52+I53+I54+I48</f>
        <v>51727.733</v>
      </c>
      <c r="J46" s="102">
        <f>J47+J49+J50+J51+J52+J53+J54+J48</f>
        <v>0</v>
      </c>
      <c r="K46" s="174">
        <f>K47+K49+K50+K51+K52+K53+K54+K48</f>
        <v>62432.956</v>
      </c>
      <c r="M46" s="10"/>
    </row>
    <row r="47" spans="2:11" ht="12.75">
      <c r="B47" s="104"/>
      <c r="C47" s="105" t="s">
        <v>57</v>
      </c>
      <c r="D47" s="8" t="s">
        <v>10</v>
      </c>
      <c r="E47" s="27">
        <f>F47/1.18</f>
        <v>9513.447457627119</v>
      </c>
      <c r="F47" s="9">
        <f>935.489*12</f>
        <v>11225.868</v>
      </c>
      <c r="G47" s="159">
        <v>10669.68</v>
      </c>
      <c r="H47" s="56">
        <f>I47/1.18</f>
        <v>10338.101694915254</v>
      </c>
      <c r="I47" s="182">
        <v>12198.96</v>
      </c>
      <c r="J47" s="159"/>
      <c r="K47" s="170">
        <v>12391.95</v>
      </c>
    </row>
    <row r="48" spans="2:11" ht="12.75">
      <c r="B48" s="104"/>
      <c r="C48" s="105" t="s">
        <v>58</v>
      </c>
      <c r="D48" s="8" t="s">
        <v>10</v>
      </c>
      <c r="E48" s="27"/>
      <c r="F48" s="9"/>
      <c r="G48" s="159"/>
      <c r="H48" s="56">
        <f>I48/1.18</f>
        <v>88.98305084745763</v>
      </c>
      <c r="I48" s="182">
        <v>105</v>
      </c>
      <c r="J48" s="159"/>
      <c r="K48" s="170">
        <v>50</v>
      </c>
    </row>
    <row r="49" spans="2:11" ht="12.75">
      <c r="B49" s="106"/>
      <c r="C49" s="58" t="s">
        <v>59</v>
      </c>
      <c r="D49" s="15" t="s">
        <v>10</v>
      </c>
      <c r="E49" s="27">
        <f aca="true" t="shared" si="9" ref="E49:E54">F49/1.18</f>
        <v>901.6949152542373</v>
      </c>
      <c r="F49" s="97">
        <v>1064</v>
      </c>
      <c r="G49" s="159">
        <v>618.09</v>
      </c>
      <c r="H49" s="56">
        <f>I49/1.18</f>
        <v>732.4830508474577</v>
      </c>
      <c r="I49" s="182">
        <v>864.33</v>
      </c>
      <c r="J49" s="159"/>
      <c r="K49" s="170">
        <f>864.33+658.36</f>
        <v>1522.69</v>
      </c>
    </row>
    <row r="50" spans="2:11" ht="12.75">
      <c r="B50" s="106"/>
      <c r="C50" s="58" t="s">
        <v>60</v>
      </c>
      <c r="D50" s="15" t="s">
        <v>10</v>
      </c>
      <c r="E50" s="27">
        <f t="shared" si="9"/>
        <v>842.3728813559322</v>
      </c>
      <c r="F50" s="97">
        <v>994</v>
      </c>
      <c r="G50" s="159">
        <v>1145.93</v>
      </c>
      <c r="H50" s="56">
        <f>I50/1.18</f>
        <v>890.813559322034</v>
      </c>
      <c r="I50" s="182">
        <v>1051.16</v>
      </c>
      <c r="J50" s="159"/>
      <c r="K50" s="170">
        <v>1051.16</v>
      </c>
    </row>
    <row r="51" spans="2:11" ht="12.75">
      <c r="B51" s="106"/>
      <c r="C51" s="58" t="s">
        <v>61</v>
      </c>
      <c r="D51" s="15" t="s">
        <v>10</v>
      </c>
      <c r="E51" s="27">
        <f t="shared" si="9"/>
        <v>460.41779661016955</v>
      </c>
      <c r="F51" s="9">
        <v>543.293</v>
      </c>
      <c r="G51" s="159">
        <v>324.29</v>
      </c>
      <c r="H51" s="56">
        <f>I51/1.18</f>
        <v>500</v>
      </c>
      <c r="I51" s="182">
        <v>590</v>
      </c>
      <c r="J51" s="159"/>
      <c r="K51" s="170">
        <v>646.596</v>
      </c>
    </row>
    <row r="52" spans="2:11" ht="12.75">
      <c r="B52" s="106"/>
      <c r="C52" s="58" t="s">
        <v>62</v>
      </c>
      <c r="D52" s="15" t="s">
        <v>10</v>
      </c>
      <c r="E52" s="27">
        <f t="shared" si="9"/>
        <v>0</v>
      </c>
      <c r="F52" s="107"/>
      <c r="G52" s="159">
        <v>934.2</v>
      </c>
      <c r="H52" s="56">
        <f>I52</f>
        <v>42.675</v>
      </c>
      <c r="I52" s="182">
        <v>42.675</v>
      </c>
      <c r="J52" s="159"/>
      <c r="K52" s="170">
        <v>88.7</v>
      </c>
    </row>
    <row r="53" spans="2:11" ht="12.75">
      <c r="B53" s="106"/>
      <c r="C53" s="58" t="s">
        <v>63</v>
      </c>
      <c r="D53" s="15" t="s">
        <v>10</v>
      </c>
      <c r="E53" s="27">
        <f t="shared" si="9"/>
        <v>26848.072881355933</v>
      </c>
      <c r="F53" s="9">
        <v>31680.726</v>
      </c>
      <c r="G53" s="159">
        <v>30983.64</v>
      </c>
      <c r="H53" s="56">
        <f>I53/1.18</f>
        <v>26500</v>
      </c>
      <c r="I53" s="182">
        <v>31270</v>
      </c>
      <c r="J53" s="159"/>
      <c r="K53" s="170">
        <v>40145.68</v>
      </c>
    </row>
    <row r="54" spans="2:11" ht="13.5" thickBot="1">
      <c r="B54" s="106"/>
      <c r="C54" s="60" t="s">
        <v>64</v>
      </c>
      <c r="D54" s="15" t="s">
        <v>10</v>
      </c>
      <c r="E54" s="131">
        <f t="shared" si="9"/>
        <v>4722.457627118644</v>
      </c>
      <c r="F54" s="61">
        <f>464.375*12</f>
        <v>5572.5</v>
      </c>
      <c r="G54" s="159">
        <v>5586.45</v>
      </c>
      <c r="H54" s="132">
        <f>I54/1.18</f>
        <v>4750.515254237289</v>
      </c>
      <c r="I54" s="191">
        <v>5605.608</v>
      </c>
      <c r="J54" s="159"/>
      <c r="K54" s="175">
        <v>6536.18</v>
      </c>
    </row>
    <row r="55" spans="2:11" ht="15.75" customHeight="1" thickBot="1">
      <c r="B55" s="108" t="s">
        <v>65</v>
      </c>
      <c r="C55" s="109" t="s">
        <v>66</v>
      </c>
      <c r="D55" s="110" t="s">
        <v>10</v>
      </c>
      <c r="E55" s="111">
        <f aca="true" t="shared" si="10" ref="E55:K55">E56+E57+E58</f>
        <v>35500.00406779661</v>
      </c>
      <c r="F55" s="111">
        <f t="shared" si="10"/>
        <v>36774.157999999996</v>
      </c>
      <c r="G55" s="111">
        <f t="shared" si="10"/>
        <v>33655.100000000006</v>
      </c>
      <c r="H55" s="112">
        <f t="shared" si="10"/>
        <v>37600</v>
      </c>
      <c r="I55" s="192">
        <f t="shared" si="10"/>
        <v>38600</v>
      </c>
      <c r="J55" s="112">
        <f t="shared" si="10"/>
        <v>23600</v>
      </c>
      <c r="K55" s="176">
        <f t="shared" si="10"/>
        <v>34370.11</v>
      </c>
    </row>
    <row r="56" spans="2:11" ht="14.25" customHeight="1">
      <c r="B56" s="113"/>
      <c r="C56" s="114" t="s">
        <v>67</v>
      </c>
      <c r="D56" s="8" t="s">
        <v>10</v>
      </c>
      <c r="E56" s="27">
        <v>21829</v>
      </c>
      <c r="F56" s="151">
        <v>21829</v>
      </c>
      <c r="G56" s="158">
        <v>22508.83</v>
      </c>
      <c r="H56" s="152">
        <v>23600</v>
      </c>
      <c r="I56" s="193">
        <v>23600</v>
      </c>
      <c r="J56" s="158">
        <f>I56</f>
        <v>23600</v>
      </c>
      <c r="K56" s="177">
        <v>23679.8</v>
      </c>
    </row>
    <row r="57" spans="2:11" ht="18.75" customHeight="1">
      <c r="B57" s="115"/>
      <c r="C57" s="116" t="s">
        <v>68</v>
      </c>
      <c r="D57" s="15" t="s">
        <v>10</v>
      </c>
      <c r="E57" s="9">
        <v>6592.36</v>
      </c>
      <c r="F57" s="36">
        <f>F56*0.302</f>
        <v>6592.358</v>
      </c>
      <c r="G57" s="158">
        <v>7102.97</v>
      </c>
      <c r="H57" s="149">
        <f>H56*30.2%</f>
        <v>7127.2</v>
      </c>
      <c r="I57" s="182">
        <f>I56*30.2%</f>
        <v>7127.2</v>
      </c>
      <c r="J57" s="159"/>
      <c r="K57" s="170">
        <f>6984.54</f>
        <v>6984.54</v>
      </c>
    </row>
    <row r="58" spans="2:11" ht="13.5" thickBot="1">
      <c r="B58" s="16"/>
      <c r="C58" s="16" t="s">
        <v>69</v>
      </c>
      <c r="D58" s="15" t="s">
        <v>10</v>
      </c>
      <c r="E58" s="18">
        <f>F58/1.18</f>
        <v>7078.64406779661</v>
      </c>
      <c r="F58" s="61">
        <v>8352.8</v>
      </c>
      <c r="G58" s="158">
        <v>4043.3</v>
      </c>
      <c r="H58" s="153">
        <v>6872.8</v>
      </c>
      <c r="I58" s="191">
        <v>7872.8</v>
      </c>
      <c r="J58" s="159"/>
      <c r="K58" s="170">
        <v>3705.77</v>
      </c>
    </row>
    <row r="59" spans="2:11" ht="13.5" thickBot="1">
      <c r="B59" s="117" t="s">
        <v>70</v>
      </c>
      <c r="C59" s="118" t="s">
        <v>71</v>
      </c>
      <c r="D59" s="119" t="s">
        <v>10</v>
      </c>
      <c r="E59" s="120">
        <v>20468.94</v>
      </c>
      <c r="F59" s="121">
        <v>20468.94</v>
      </c>
      <c r="G59" s="122">
        <v>27785.34</v>
      </c>
      <c r="H59" s="123">
        <v>27553.72</v>
      </c>
      <c r="I59" s="178">
        <v>27553.72</v>
      </c>
      <c r="J59" s="121">
        <v>27553.72</v>
      </c>
      <c r="K59" s="178">
        <v>31973.2</v>
      </c>
    </row>
    <row r="60" spans="2:11" ht="15" customHeight="1" thickBot="1">
      <c r="B60" s="124">
        <v>3</v>
      </c>
      <c r="C60" s="125" t="s">
        <v>72</v>
      </c>
      <c r="D60" s="124" t="s">
        <v>73</v>
      </c>
      <c r="E60" s="126">
        <f>(E14+E45+E55+E59)*1000/12/F5</f>
        <v>19.71165041613447</v>
      </c>
      <c r="F60" s="126">
        <f aca="true" t="shared" si="11" ref="F60:K60">(F14+F45+F55+F59)*1000/12/F5</f>
        <v>21.17263538895708</v>
      </c>
      <c r="G60" s="126">
        <f t="shared" si="11"/>
        <v>21.610627334625196</v>
      </c>
      <c r="H60" s="127">
        <f>(H14+H45+H55+H59)*1000/12/H5</f>
        <v>21.18158426598</v>
      </c>
      <c r="I60" s="179">
        <f>(I14+I45+I55+I59)*1000/12/I5</f>
        <v>22.820486030568812</v>
      </c>
      <c r="J60" s="126" t="e">
        <f t="shared" si="11"/>
        <v>#DIV/0!</v>
      </c>
      <c r="K60" s="179">
        <f t="shared" si="11"/>
        <v>22.69166942153046</v>
      </c>
    </row>
    <row r="61" spans="2:11" ht="13.5" hidden="1" thickBot="1">
      <c r="B61" s="128">
        <v>4</v>
      </c>
      <c r="C61" s="129" t="s">
        <v>74</v>
      </c>
      <c r="D61" s="130" t="s">
        <v>75</v>
      </c>
      <c r="E61" s="131"/>
      <c r="F61" s="131"/>
      <c r="G61" s="159"/>
      <c r="H61" s="132"/>
      <c r="I61" s="194"/>
      <c r="J61" s="159"/>
      <c r="K61" s="170"/>
    </row>
    <row r="62" spans="2:11" ht="13.5" hidden="1" thickBot="1">
      <c r="B62" s="73"/>
      <c r="C62" s="133" t="s">
        <v>76</v>
      </c>
      <c r="D62" s="32" t="s">
        <v>75</v>
      </c>
      <c r="E62" s="131"/>
      <c r="F62" s="131"/>
      <c r="G62" s="159"/>
      <c r="H62" s="132"/>
      <c r="I62" s="194"/>
      <c r="J62" s="159"/>
      <c r="K62" s="170"/>
    </row>
    <row r="63" spans="2:11" ht="13.5" hidden="1" thickBot="1">
      <c r="B63" s="73"/>
      <c r="C63" s="133" t="s">
        <v>77</v>
      </c>
      <c r="D63" s="32" t="s">
        <v>75</v>
      </c>
      <c r="E63" s="131"/>
      <c r="F63" s="131"/>
      <c r="G63" s="159"/>
      <c r="H63" s="132"/>
      <c r="I63" s="194"/>
      <c r="J63" s="159"/>
      <c r="K63" s="170"/>
    </row>
    <row r="64" spans="2:11" ht="13.5" hidden="1" thickBot="1">
      <c r="B64" s="134">
        <v>5</v>
      </c>
      <c r="C64" s="135" t="s">
        <v>78</v>
      </c>
      <c r="D64" s="136" t="s">
        <v>73</v>
      </c>
      <c r="E64" s="131"/>
      <c r="F64" s="131"/>
      <c r="G64" s="159"/>
      <c r="H64" s="132"/>
      <c r="I64" s="194"/>
      <c r="J64" s="159"/>
      <c r="K64" s="170"/>
    </row>
    <row r="65" spans="2:11" ht="13.5" hidden="1" thickBot="1">
      <c r="B65" s="73"/>
      <c r="C65" s="133" t="s">
        <v>76</v>
      </c>
      <c r="D65" s="32" t="s">
        <v>73</v>
      </c>
      <c r="E65" s="131"/>
      <c r="F65" s="131"/>
      <c r="G65" s="159"/>
      <c r="H65" s="132"/>
      <c r="I65" s="194"/>
      <c r="J65" s="159"/>
      <c r="K65" s="170"/>
    </row>
    <row r="66" spans="2:11" ht="13.5" hidden="1" thickBot="1">
      <c r="B66" s="15"/>
      <c r="C66" s="133" t="s">
        <v>77</v>
      </c>
      <c r="D66" s="137" t="s">
        <v>73</v>
      </c>
      <c r="E66" s="131"/>
      <c r="F66" s="131"/>
      <c r="G66" s="159"/>
      <c r="H66" s="132"/>
      <c r="I66" s="194"/>
      <c r="J66" s="159"/>
      <c r="K66" s="170"/>
    </row>
    <row r="67" spans="2:11" ht="22.5" customHeight="1" thickBot="1">
      <c r="B67" s="138"/>
      <c r="C67" s="139" t="s">
        <v>79</v>
      </c>
      <c r="D67" s="140" t="s">
        <v>10</v>
      </c>
      <c r="E67" s="18"/>
      <c r="F67" s="18">
        <f>F4-F14-F45-F55-F59</f>
        <v>600.0020199999599</v>
      </c>
      <c r="G67" s="18">
        <f>G4-G14-G45-G55-G59</f>
        <v>8.680000000083965</v>
      </c>
      <c r="H67" s="18">
        <f>H4-H14-H45-H55</f>
        <v>2351.0008305084775</v>
      </c>
      <c r="I67" s="180">
        <f>I4-I14-I45-I55-I59</f>
        <v>2351.00099999996</v>
      </c>
      <c r="J67" s="18">
        <f>J4-J14-J45-J55-J59</f>
        <v>-161294.61000000002</v>
      </c>
      <c r="K67" s="180">
        <f>K4-K14-K45-K55-K59</f>
        <v>5098.711999999952</v>
      </c>
    </row>
    <row r="68" spans="2:5" ht="15">
      <c r="B68" s="141"/>
      <c r="C68" s="142"/>
      <c r="D68" s="142"/>
      <c r="E68" s="143"/>
    </row>
    <row r="69" spans="2:11" ht="12.75">
      <c r="B69" s="145"/>
      <c r="G69" s="10"/>
      <c r="H69" s="10"/>
      <c r="I69" s="10"/>
      <c r="J69" s="10"/>
      <c r="K69" s="144"/>
    </row>
    <row r="70" spans="2:11" s="1" customFormat="1" ht="15.75">
      <c r="B70" s="146"/>
      <c r="E70" s="147"/>
      <c r="F70" s="147"/>
      <c r="G70" s="148"/>
      <c r="H70" s="148" t="s">
        <v>80</v>
      </c>
      <c r="J70" s="148"/>
      <c r="K70" s="147"/>
    </row>
    <row r="71" spans="2:11" s="1" customFormat="1" ht="15.75">
      <c r="B71" s="146"/>
      <c r="E71" s="147"/>
      <c r="F71" s="147"/>
      <c r="G71" s="148"/>
      <c r="H71" s="148"/>
      <c r="K71" s="146"/>
    </row>
    <row r="72" spans="2:11" s="1" customFormat="1" ht="15.75">
      <c r="B72" s="146"/>
      <c r="E72" s="147"/>
      <c r="F72" s="147"/>
      <c r="K72" s="146"/>
    </row>
    <row r="73" spans="5:11" s="1" customFormat="1" ht="15.75">
      <c r="E73" s="147"/>
      <c r="F73" s="147"/>
      <c r="H73" s="1" t="s">
        <v>81</v>
      </c>
      <c r="K73" s="146"/>
    </row>
    <row r="75" spans="7:9" ht="12.75">
      <c r="G75" s="10"/>
      <c r="H75" s="10"/>
      <c r="I75" s="4"/>
    </row>
    <row r="76" spans="7:9" ht="12.75">
      <c r="G76" s="10"/>
      <c r="H76" s="10"/>
      <c r="I76" s="13"/>
    </row>
    <row r="77" spans="7:9" ht="12.75">
      <c r="G77" s="10"/>
      <c r="H77" s="10"/>
      <c r="I77" s="13"/>
    </row>
    <row r="78" ht="12.75">
      <c r="I78" s="4"/>
    </row>
    <row r="80" ht="12.75">
      <c r="H80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</sheetData>
  <sheetProtection/>
  <mergeCells count="1">
    <mergeCell ref="B1:I1"/>
  </mergeCells>
  <dataValidations count="1">
    <dataValidation type="custom" allowBlank="1" showInputMessage="1" showErrorMessage="1" errorTitle="Ошибка!" error="Округлите до сотых долей!" sqref="D14:D30 D33:D59 D67">
      <formula1>D14*100-INT(D14*100)&lt;0.0001</formula1>
    </dataValidation>
  </dataValidation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2017-04-14T08:04:21Z</cp:lastPrinted>
  <dcterms:created xsi:type="dcterms:W3CDTF">1996-10-08T23:32:33Z</dcterms:created>
  <dcterms:modified xsi:type="dcterms:W3CDTF">2017-04-19T12:53:27Z</dcterms:modified>
  <cp:category/>
  <cp:version/>
  <cp:contentType/>
  <cp:contentStatus/>
</cp:coreProperties>
</file>