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0" windowWidth="19035" windowHeight="5850" activeTab="1"/>
  </bookViews>
  <sheets>
    <sheet name="косм.рем.л.кл." sheetId="2" r:id="rId1"/>
    <sheet name="по месяцам" sheetId="3" r:id="rId2"/>
  </sheets>
  <definedNames/>
  <calcPr calcId="125725"/>
</workbook>
</file>

<file path=xl/sharedStrings.xml><?xml version="1.0" encoding="utf-8"?>
<sst xmlns="http://schemas.openxmlformats.org/spreadsheetml/2006/main" count="838" uniqueCount="276">
  <si>
    <t>№ п.п.</t>
  </si>
  <si>
    <t>Примечание</t>
  </si>
  <si>
    <t xml:space="preserve">Генеральный директор </t>
  </si>
  <si>
    <t xml:space="preserve">Сроки </t>
  </si>
  <si>
    <t>январь</t>
  </si>
  <si>
    <t>Объёмы работ</t>
  </si>
  <si>
    <t>шт.</t>
  </si>
  <si>
    <t>тыс.кв.м.</t>
  </si>
  <si>
    <t>Стоимость работ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</si>
  <si>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</si>
  <si>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</si>
  <si>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</si>
  <si>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</si>
  <si>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</si>
  <si>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</si>
  <si>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</si>
  <si>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</si>
  <si>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</si>
  <si>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</si>
  <si>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</si>
  <si>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Начальник ПТО</t>
  </si>
  <si>
    <t>хоз/сп</t>
  </si>
  <si>
    <t xml:space="preserve">       Адрес, № л.кл.</t>
  </si>
  <si>
    <t>подр/сп</t>
  </si>
  <si>
    <t>Беринга ул., д. 8  № 1,3</t>
  </si>
  <si>
    <t>"Согласовано"</t>
  </si>
  <si>
    <t>"Утверждаю"</t>
  </si>
  <si>
    <t>Директор ГКУ "ЖА ВО района"</t>
  </si>
  <si>
    <t>_______________С.А.Алексеев</t>
  </si>
  <si>
    <t>ООО "ЖКС №1 Василеостровского района"</t>
  </si>
  <si>
    <t>_____________________Ю.Д. Кирюшов</t>
  </si>
  <si>
    <t>Адресная пограмма текущего ремонта  лестничных клеток по ООО "ЖКС №1 Василеостровского района"  на 2015 год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</si>
  <si>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</si>
  <si>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</si>
  <si>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</si>
  <si>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</si>
  <si>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</si>
  <si>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</si>
  <si>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</si>
  <si>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</si>
  <si>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ОАО "Жилкомсервис")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</si>
  <si>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</si>
  <si>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</si>
  <si>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</si>
  <si>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</si>
  <si>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</si>
  <si>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</si>
  <si>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</si>
  <si>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подр.сп.</t>
  </si>
  <si>
    <t>под.сп.</t>
  </si>
  <si>
    <t>I.</t>
  </si>
  <si>
    <t>ОБЩЕСТРОИТЕЛЬНЫЕ РАБОТЫ</t>
  </si>
  <si>
    <t>5</t>
  </si>
  <si>
    <t>Косметический ремонт лестничных клеток (А.П.)</t>
  </si>
  <si>
    <t>т.кв.м</t>
  </si>
  <si>
    <t>л/кл</t>
  </si>
  <si>
    <t>т.руб.</t>
  </si>
  <si>
    <t>5.1</t>
  </si>
  <si>
    <t>12 - я линия, д. 19  л.к.№4,5</t>
  </si>
  <si>
    <t>5.2</t>
  </si>
  <si>
    <t>23 - я линия, д. 28  №1</t>
  </si>
  <si>
    <t>5.3</t>
  </si>
  <si>
    <t>5.4</t>
  </si>
  <si>
    <t>Беринга ул., д. 16  №3,5</t>
  </si>
  <si>
    <t>5.5</t>
  </si>
  <si>
    <t>Беринга ул., д. 20  № 4</t>
  </si>
  <si>
    <t>5.6</t>
  </si>
  <si>
    <t>Беринга ул., д. 22 к.1  №4</t>
  </si>
  <si>
    <t>5.7</t>
  </si>
  <si>
    <t>Беринга ул., д. 24 к.1  №3,4</t>
  </si>
  <si>
    <t>5.8</t>
  </si>
  <si>
    <t>Беринга ул., д. 24 к.2   № 2,3</t>
  </si>
  <si>
    <t>5.9</t>
  </si>
  <si>
    <t>Беринга ул., д. 24 к.3  №2,3</t>
  </si>
  <si>
    <t>5.10</t>
  </si>
  <si>
    <t>Беринга ул., д. 28 к.1  №2</t>
  </si>
  <si>
    <t>5.11</t>
  </si>
  <si>
    <t>Большой пр., д. 89  №1,2</t>
  </si>
  <si>
    <t>5.12</t>
  </si>
  <si>
    <t>Большой пр., д. 90  №2</t>
  </si>
  <si>
    <t>5.13</t>
  </si>
  <si>
    <t>Большой пр., д. 99  № 1</t>
  </si>
  <si>
    <t>5.14</t>
  </si>
  <si>
    <t>Весельная ул., д. 4 №1,6</t>
  </si>
  <si>
    <t>5.15</t>
  </si>
  <si>
    <t>Весельная ул., д. 5 №1</t>
  </si>
  <si>
    <t>5.16</t>
  </si>
  <si>
    <t>Весельная ул., д.7/10  №2</t>
  </si>
  <si>
    <t>5.17</t>
  </si>
  <si>
    <t>Весельная ул., д. 8  №1</t>
  </si>
  <si>
    <t>5.18</t>
  </si>
  <si>
    <t>Гаванская ул., д. 4   №2</t>
  </si>
  <si>
    <t>5.19</t>
  </si>
  <si>
    <t>Гаванская ул., д. 6   №1</t>
  </si>
  <si>
    <t>Гаванская ул., д. 9  №1</t>
  </si>
  <si>
    <t>5.20</t>
  </si>
  <si>
    <t>Гаванская ул., д. 11  №3</t>
  </si>
  <si>
    <t>Гаванская ул., д. 16  №1</t>
  </si>
  <si>
    <t>Гаванская ул., д. 17  №3</t>
  </si>
  <si>
    <t>5.21</t>
  </si>
  <si>
    <t>Гаванская ул., д. 19/100 №4,5</t>
  </si>
  <si>
    <t>5.22</t>
  </si>
  <si>
    <t xml:space="preserve">Гаванская ул., д. 24  №1,3 </t>
  </si>
  <si>
    <t>Гаванская ул., д. 33  №3</t>
  </si>
  <si>
    <t>5.23</t>
  </si>
  <si>
    <t>Гаванская ул., д. 34  №5,8,10</t>
  </si>
  <si>
    <t>5.24</t>
  </si>
  <si>
    <t>Гаванская ул., д. 41 №3,5</t>
  </si>
  <si>
    <t>5.25</t>
  </si>
  <si>
    <t>Гаванская ул., д. 42 № 1,3</t>
  </si>
  <si>
    <t>5.26</t>
  </si>
  <si>
    <t>Гаванская ул., д. 43№ 1,2</t>
  </si>
  <si>
    <t>5.27</t>
  </si>
  <si>
    <t>Гаванская ул., д. 44 № 4,5</t>
  </si>
  <si>
    <t>5.28</t>
  </si>
  <si>
    <t>Гаванская ул., д. 46  №4,5</t>
  </si>
  <si>
    <t>5.29</t>
  </si>
  <si>
    <t>Гаванская ул., д. 47 В №1,2</t>
  </si>
  <si>
    <t>5.30</t>
  </si>
  <si>
    <t>Гаванская ул., д. 48 №2,3</t>
  </si>
  <si>
    <t>5.31</t>
  </si>
  <si>
    <t>Гаванская  ул., д. 49 к.2 №1,2</t>
  </si>
  <si>
    <t>5.32</t>
  </si>
  <si>
    <t>Детская ул.,  д. 11 №1</t>
  </si>
  <si>
    <t>5.33</t>
  </si>
  <si>
    <t>Детская ул., д. 17 №1,2</t>
  </si>
  <si>
    <t>5.34</t>
  </si>
  <si>
    <t>Детская ул., д. 34/90  №1</t>
  </si>
  <si>
    <t>5.35</t>
  </si>
  <si>
    <t>Железноводская ул., д. 26-28 №1,2</t>
  </si>
  <si>
    <t>5.36</t>
  </si>
  <si>
    <t>Канареечная  ул., д. 6/4 №1</t>
  </si>
  <si>
    <t>5.37</t>
  </si>
  <si>
    <t>Канареечная ул., д. 10 №1,2</t>
  </si>
  <si>
    <t>5.38</t>
  </si>
  <si>
    <t>Карташихина ул., д. 2/13  №3,4</t>
  </si>
  <si>
    <t>5.39</t>
  </si>
  <si>
    <t>Карташихина ул., д.7  №2</t>
  </si>
  <si>
    <t>5.40</t>
  </si>
  <si>
    <t xml:space="preserve"> Карташихина ул., д. 10/97  № 1,3</t>
  </si>
  <si>
    <t>5.41</t>
  </si>
  <si>
    <t>Карташихина ул., д. 12 №2</t>
  </si>
  <si>
    <t>5.42</t>
  </si>
  <si>
    <t>Карташихина ул., д. 17 №1</t>
  </si>
  <si>
    <t>5.43</t>
  </si>
  <si>
    <t>Карташихина ул., д. 21 №2,4</t>
  </si>
  <si>
    <t>5.44</t>
  </si>
  <si>
    <t>Кима пр., д. 11 №2</t>
  </si>
  <si>
    <t>5.45</t>
  </si>
  <si>
    <t>Кима пр., д. 13 №5</t>
  </si>
  <si>
    <t>5.46</t>
  </si>
  <si>
    <t>Кораблестроителей ул., д. 16 №11,12</t>
  </si>
  <si>
    <t>5.47</t>
  </si>
  <si>
    <t>Кораблестроителей ул., д. 19 к.1лит.В №19,22,25</t>
  </si>
  <si>
    <t>5.48</t>
  </si>
  <si>
    <t>Кораблестроителей ул., д. 22   №5,8,12</t>
  </si>
  <si>
    <t>5.49</t>
  </si>
  <si>
    <t>Малый пр., д. 65 к.1 №1,4</t>
  </si>
  <si>
    <t>5.50</t>
  </si>
  <si>
    <t>Малый пр., д. 70  №4,5</t>
  </si>
  <si>
    <t>5.51</t>
  </si>
  <si>
    <t>Малый пр., д. 75  №4</t>
  </si>
  <si>
    <t>5.52</t>
  </si>
  <si>
    <t>Мичманская ул., д. 2 № 1(хол.), 1 (кв.хол.)</t>
  </si>
  <si>
    <t>5.53</t>
  </si>
  <si>
    <t>Мичманская ул., д. 4   №1(хол.), 1 (кв.хол.)</t>
  </si>
  <si>
    <t>5.54</t>
  </si>
  <si>
    <t>Морская наб., д. 15 А   №5,8,15,18</t>
  </si>
  <si>
    <t>5.55</t>
  </si>
  <si>
    <t>Морская наб., д. 15Г № 29(кв.холлы), 29(хол.)</t>
  </si>
  <si>
    <t>5.56</t>
  </si>
  <si>
    <t>Наличная ул., д. 12  №2</t>
  </si>
  <si>
    <t>5.57</t>
  </si>
  <si>
    <t>Наличная ул., д. 19  № 2</t>
  </si>
  <si>
    <t>5.58</t>
  </si>
  <si>
    <t>Наличная ул., д. 19 к. 2 № 6,7</t>
  </si>
  <si>
    <t>5.59</t>
  </si>
  <si>
    <t>Наличная ул., д. 21  №3,4</t>
  </si>
  <si>
    <t>5.60</t>
  </si>
  <si>
    <t>Наличная ул., д. 22 №1,3</t>
  </si>
  <si>
    <t>5.61</t>
  </si>
  <si>
    <t>Наличная ул., д. 23 №3,4</t>
  </si>
  <si>
    <t>5.62</t>
  </si>
  <si>
    <t>Наличная ул., д. 25/84 №1,5</t>
  </si>
  <si>
    <t>5.63</t>
  </si>
  <si>
    <t>Наличная ул., д. 29 № 1,4,5</t>
  </si>
  <si>
    <t>5.64</t>
  </si>
  <si>
    <t>Наличная ул., д. 31 №2,3,4</t>
  </si>
  <si>
    <t>5.65</t>
  </si>
  <si>
    <t>Наличная ул., д. 33 №3</t>
  </si>
  <si>
    <t>5.66</t>
  </si>
  <si>
    <t>Наличная ул., д. 35 к.1 №3,4</t>
  </si>
  <si>
    <t>5.67</t>
  </si>
  <si>
    <t>Наличная ул., д. 35 к.2 №1,2</t>
  </si>
  <si>
    <t>5.68</t>
  </si>
  <si>
    <t>Наличная ул., д. 35 к.3 №1,3</t>
  </si>
  <si>
    <t>5.69</t>
  </si>
  <si>
    <t>Наличная ул., д. 37 к.2 №3,4</t>
  </si>
  <si>
    <t>5.70</t>
  </si>
  <si>
    <t>Нахимова ул., д. 2/30 №1,3,6</t>
  </si>
  <si>
    <t>5.71</t>
  </si>
  <si>
    <t>Нахимова ул., д. 3 к. 2  №1</t>
  </si>
  <si>
    <t>5.72</t>
  </si>
  <si>
    <t>Нахимова ул., д. 5 к.4  №1</t>
  </si>
  <si>
    <t>5.75</t>
  </si>
  <si>
    <t>Нахимова ул., д. 8 кор.3 №3,5</t>
  </si>
  <si>
    <t>5.73</t>
  </si>
  <si>
    <t>Нахимова ул., д. 14/41 А  №2</t>
  </si>
  <si>
    <t>Нахимова ул., д. 14/41Б № 5,6,7</t>
  </si>
  <si>
    <t>5.76</t>
  </si>
  <si>
    <t>Опочинина ул., д. 5 №1</t>
  </si>
  <si>
    <t>5.77</t>
  </si>
  <si>
    <t>Опочинина ул., д. 13 №3</t>
  </si>
  <si>
    <t>5.78</t>
  </si>
  <si>
    <t>Опочинина ул., д. 15/18 №1</t>
  </si>
  <si>
    <t>5.79</t>
  </si>
  <si>
    <t>Опочинина ул., д. 21 №1,4</t>
  </si>
  <si>
    <t>5.80</t>
  </si>
  <si>
    <t>Опочинина ул., д. 29  №2</t>
  </si>
  <si>
    <t>5.81</t>
  </si>
  <si>
    <t>Среднегаванский пр., д. 2/20  №1</t>
  </si>
  <si>
    <t>5.82</t>
  </si>
  <si>
    <t>Среднегаванский пр., д. 3 №1,2</t>
  </si>
  <si>
    <t>5.83</t>
  </si>
  <si>
    <t>Среднегаванский пр., д. 9 №2,3</t>
  </si>
  <si>
    <t>5.84</t>
  </si>
  <si>
    <t>Средний пр., д. 70 №2</t>
  </si>
  <si>
    <t>5.85</t>
  </si>
  <si>
    <t>Средний пр., д. 92 №2,3,5</t>
  </si>
  <si>
    <t>5.86</t>
  </si>
  <si>
    <t>Средний пр., д. 98 №2,3</t>
  </si>
  <si>
    <t>5.87</t>
  </si>
  <si>
    <t>Средний пр., д. 99/18 №3,4</t>
  </si>
  <si>
    <t>5.88</t>
  </si>
  <si>
    <t>Шевченко ул., д. 9 №4</t>
  </si>
  <si>
    <t>Шевченко ул., д. 11  №2</t>
  </si>
  <si>
    <t>5.89</t>
  </si>
  <si>
    <t>Шевченко ул., д. 16 №2</t>
  </si>
  <si>
    <t>5.90</t>
  </si>
  <si>
    <t>Шевченко ул., д. 17  №2</t>
  </si>
  <si>
    <t>5.91</t>
  </si>
  <si>
    <t>Шевченко ул., д. 18 №3</t>
  </si>
  <si>
    <t>5.92</t>
  </si>
  <si>
    <t>Шевченко ул., д. 22 к.1 №1,3</t>
  </si>
  <si>
    <t>5.93</t>
  </si>
  <si>
    <t>Шевченко ул., д. 22 к.2 №2,3</t>
  </si>
  <si>
    <t>5.94</t>
  </si>
  <si>
    <t>Шевченко ул., д. 24 к. 2   №1,5</t>
  </si>
  <si>
    <t>5.95</t>
  </si>
  <si>
    <t>Шевченко ул., д. 28 №4,5</t>
  </si>
  <si>
    <t>5.96</t>
  </si>
  <si>
    <t>Шевченко  ул., д. 29 №4</t>
  </si>
  <si>
    <t>5.97</t>
  </si>
  <si>
    <t>Шкиперский проток д. 2  №3</t>
  </si>
  <si>
    <t>Главный  инженер</t>
  </si>
  <si>
    <t>Ю.В.Сыч</t>
  </si>
  <si>
    <t>А.В.Тихонова</t>
  </si>
  <si>
    <t>Кораблестроителей ул., д. 19 к.1лит.В №19</t>
  </si>
  <si>
    <t>Кораблестроителей ул., д. 19 к.1лит.В №22,25</t>
  </si>
  <si>
    <t>Морская наб., д. 15 А   №15,18</t>
  </si>
  <si>
    <t>Морская наб., д. 15 А   №5,8</t>
  </si>
  <si>
    <t>Мичманская ул., д. 2 № 1(с лифт.)</t>
  </si>
  <si>
    <t>Мичманская ул., д. 2 № 1(без лифта)</t>
  </si>
  <si>
    <t>Кораблестроителей ул., д. 22   №5,8</t>
  </si>
  <si>
    <t>Кораблестроителей ул., д. 22   №12</t>
  </si>
  <si>
    <t>Морская наб., д. 15Г №  29(без лифта)</t>
  </si>
  <si>
    <t>Морская наб., д. 15Г № 29(с лифт.)</t>
  </si>
  <si>
    <t>Мичманская ул., д. 4   № 1 (с лифт.)</t>
  </si>
  <si>
    <t>Мичманская ул., д. 4   №1(без лифт.)</t>
  </si>
  <si>
    <t>Кораблестроителей ул., д. 16 № 4,11</t>
  </si>
  <si>
    <t>Гаванская ул., д. 34  №10</t>
  </si>
  <si>
    <t>Гаванская ул., д. 34  №5,8</t>
  </si>
  <si>
    <t>Наличная ул., д. 21  №4</t>
  </si>
  <si>
    <t>Наличная ул., д. 21  №3</t>
  </si>
  <si>
    <t>Адресная программа косметического ремонта лестничных клеток на 2015год</t>
  </si>
  <si>
    <t xml:space="preserve">ИТОГО: 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</si>
</sst>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0_ ;[Red]\-#,##0.000\ "/>
    <numFmt numFmtId="166" formatCode="#,##0_ ;[Red]\-#,##0\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Times New Roman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77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" fillId="2" borderId="1" xfId="20" applyNumberFormat="1" applyFont="1" applyFill="1" applyBorder="1" applyAlignment="1">
      <alignment horizontal="center"/>
      <protection/>
    </xf>
    <xf numFmtId="2" fontId="5" fillId="0" borderId="1" xfId="20" applyNumberFormat="1" applyFont="1" applyFill="1" applyBorder="1" applyAlignment="1">
      <alignment horizontal="center"/>
      <protection/>
    </xf>
    <xf numFmtId="0" fontId="0" fillId="0" borderId="0" xfId="0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4" fillId="0" borderId="1" xfId="20" applyNumberFormat="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0" borderId="0" xfId="21" applyFont="1" applyFill="1">
      <alignment/>
      <protection/>
    </xf>
    <xf numFmtId="0" fontId="15" fillId="0" borderId="0" xfId="0" applyFont="1"/>
    <xf numFmtId="0" fontId="15" fillId="0" borderId="0" xfId="0" applyFont="1"/>
    <xf numFmtId="0" fontId="13" fillId="0" borderId="0" xfId="0" applyFont="1"/>
    <xf numFmtId="0" fontId="4" fillId="0" borderId="0" xfId="21" applyFont="1" applyFill="1">
      <alignment/>
      <protection/>
    </xf>
    <xf numFmtId="0" fontId="16" fillId="0" borderId="0" xfId="21" applyFont="1" applyFill="1">
      <alignment/>
      <protection/>
    </xf>
    <xf numFmtId="49" fontId="16" fillId="0" borderId="0" xfId="21" applyNumberFormat="1" applyFont="1" applyFill="1">
      <alignment/>
      <protection/>
    </xf>
    <xf numFmtId="0" fontId="17" fillId="0" borderId="0" xfId="21" applyFont="1" applyFill="1" applyAlignment="1">
      <alignment horizontal="center"/>
      <protection/>
    </xf>
    <xf numFmtId="0" fontId="16" fillId="0" borderId="0" xfId="21" applyFont="1" applyFill="1" applyAlignment="1">
      <alignment horizontal="center"/>
      <protection/>
    </xf>
    <xf numFmtId="2" fontId="16" fillId="2" borderId="0" xfId="21" applyNumberFormat="1" applyFont="1" applyFill="1" applyAlignment="1">
      <alignment horizontal="center"/>
      <protection/>
    </xf>
    <xf numFmtId="0" fontId="16" fillId="2" borderId="0" xfId="21" applyFont="1" applyFill="1" applyAlignment="1">
      <alignment horizontal="center"/>
      <protection/>
    </xf>
    <xf numFmtId="0" fontId="17" fillId="2" borderId="0" xfId="21" applyFont="1" applyFill="1" applyAlignment="1">
      <alignment horizontal="center"/>
      <protection/>
    </xf>
    <xf numFmtId="0" fontId="17" fillId="0" borderId="3" xfId="21" applyFont="1" applyFill="1" applyBorder="1" applyAlignment="1">
      <alignment horizontal="center" vertical="center" wrapText="1"/>
      <protection/>
    </xf>
    <xf numFmtId="0" fontId="16" fillId="0" borderId="3" xfId="21" applyFont="1" applyFill="1" applyBorder="1" applyAlignment="1">
      <alignment horizontal="center" vertical="center"/>
      <protection/>
    </xf>
    <xf numFmtId="0" fontId="16" fillId="0" borderId="5" xfId="21" applyFont="1" applyFill="1" applyBorder="1" applyAlignment="1">
      <alignment horizontal="center" vertical="center"/>
      <protection/>
    </xf>
    <xf numFmtId="0" fontId="17" fillId="0" borderId="6" xfId="21" applyFont="1" applyFill="1" applyBorder="1" applyAlignment="1">
      <alignment horizontal="center" vertical="center" wrapText="1"/>
      <protection/>
    </xf>
    <xf numFmtId="0" fontId="16" fillId="0" borderId="7" xfId="21" applyFont="1" applyFill="1" applyBorder="1" applyAlignment="1">
      <alignment horizontal="center" vertical="center"/>
      <protection/>
    </xf>
    <xf numFmtId="0" fontId="17" fillId="2" borderId="4" xfId="21" applyFont="1" applyFill="1" applyBorder="1" applyAlignment="1">
      <alignment horizontal="center" vertical="center" wrapText="1"/>
      <protection/>
    </xf>
    <xf numFmtId="0" fontId="16" fillId="2" borderId="3" xfId="21" applyFont="1" applyFill="1" applyBorder="1" applyAlignment="1">
      <alignment horizontal="center" vertical="center"/>
      <protection/>
    </xf>
    <xf numFmtId="0" fontId="16" fillId="0" borderId="3" xfId="21" applyFont="1" applyFill="1" applyBorder="1" applyAlignment="1">
      <alignment horizontal="center" vertical="center" wrapText="1"/>
      <protection/>
    </xf>
    <xf numFmtId="0" fontId="16" fillId="3" borderId="8" xfId="21" applyFont="1" applyFill="1" applyBorder="1" applyAlignment="1">
      <alignment horizontal="center" vertical="center"/>
      <protection/>
    </xf>
    <xf numFmtId="0" fontId="17" fillId="3" borderId="9" xfId="21" applyFont="1" applyFill="1" applyBorder="1" applyAlignment="1">
      <alignment horizontal="left" vertical="center"/>
      <protection/>
    </xf>
    <xf numFmtId="0" fontId="16" fillId="3" borderId="9" xfId="21" applyFont="1" applyFill="1" applyBorder="1" applyAlignment="1">
      <alignment horizontal="center"/>
      <protection/>
    </xf>
    <xf numFmtId="0" fontId="17" fillId="3" borderId="9" xfId="21" applyFont="1" applyFill="1" applyBorder="1" applyAlignment="1">
      <alignment horizontal="center" vertical="center" wrapText="1"/>
      <protection/>
    </xf>
    <xf numFmtId="0" fontId="17" fillId="3" borderId="10" xfId="21" applyFont="1" applyFill="1" applyBorder="1" applyAlignment="1">
      <alignment horizontal="center" vertical="center" wrapText="1"/>
      <protection/>
    </xf>
    <xf numFmtId="2" fontId="17" fillId="3" borderId="11" xfId="21" applyNumberFormat="1" applyFont="1" applyFill="1" applyBorder="1" applyAlignment="1">
      <alignment horizontal="center" vertical="center" wrapText="1"/>
      <protection/>
    </xf>
    <xf numFmtId="2" fontId="17" fillId="3" borderId="12" xfId="21" applyNumberFormat="1" applyFont="1" applyFill="1" applyBorder="1" applyAlignment="1">
      <alignment horizontal="center" vertical="center" wrapText="1"/>
      <protection/>
    </xf>
    <xf numFmtId="2" fontId="17" fillId="3" borderId="13" xfId="21" applyNumberFormat="1" applyFont="1" applyFill="1" applyBorder="1" applyAlignment="1">
      <alignment horizontal="center" vertical="center" wrapText="1"/>
      <protection/>
    </xf>
    <xf numFmtId="0" fontId="17" fillId="3" borderId="14" xfId="21" applyFont="1" applyFill="1" applyBorder="1" applyAlignment="1">
      <alignment horizontal="center" vertical="center" wrapText="1"/>
      <protection/>
    </xf>
    <xf numFmtId="0" fontId="17" fillId="3" borderId="15" xfId="21" applyFont="1" applyFill="1" applyBorder="1" applyAlignment="1">
      <alignment horizontal="center" vertical="center" wrapText="1"/>
      <protection/>
    </xf>
    <xf numFmtId="0" fontId="16" fillId="0" borderId="16" xfId="21" applyFont="1" applyFill="1" applyBorder="1" applyAlignment="1">
      <alignment horizontal="center"/>
      <protection/>
    </xf>
    <xf numFmtId="0" fontId="17" fillId="0" borderId="16" xfId="21" applyFont="1" applyFill="1" applyBorder="1" applyAlignment="1">
      <alignment horizontal="center" vertical="center" wrapText="1"/>
      <protection/>
    </xf>
    <xf numFmtId="0" fontId="17" fillId="0" borderId="16" xfId="21" applyFont="1" applyFill="1" applyBorder="1" applyAlignment="1">
      <alignment horizontal="center"/>
      <protection/>
    </xf>
    <xf numFmtId="0" fontId="17" fillId="0" borderId="17" xfId="21" applyFont="1" applyFill="1" applyBorder="1" applyAlignment="1">
      <alignment horizontal="center"/>
      <protection/>
    </xf>
    <xf numFmtId="2" fontId="17" fillId="0" borderId="18" xfId="21" applyNumberFormat="1" applyFont="1" applyFill="1" applyBorder="1" applyAlignment="1">
      <alignment horizontal="center" vertical="center" wrapText="1"/>
      <protection/>
    </xf>
    <xf numFmtId="2" fontId="17" fillId="0" borderId="19" xfId="21" applyNumberFormat="1" applyFont="1" applyFill="1" applyBorder="1" applyAlignment="1">
      <alignment horizontal="center"/>
      <protection/>
    </xf>
    <xf numFmtId="2" fontId="17" fillId="0" borderId="20" xfId="21" applyNumberFormat="1" applyFont="1" applyFill="1" applyBorder="1" applyAlignment="1">
      <alignment horizontal="center"/>
      <protection/>
    </xf>
    <xf numFmtId="0" fontId="17" fillId="2" borderId="21" xfId="21" applyFont="1" applyFill="1" applyBorder="1" applyAlignment="1">
      <alignment horizontal="center"/>
      <protection/>
    </xf>
    <xf numFmtId="0" fontId="16" fillId="2" borderId="16" xfId="21" applyFont="1" applyFill="1" applyBorder="1" applyAlignment="1">
      <alignment horizontal="center"/>
      <protection/>
    </xf>
    <xf numFmtId="0" fontId="17" fillId="2" borderId="16" xfId="21" applyFont="1" applyFill="1" applyBorder="1" applyAlignment="1">
      <alignment horizontal="center"/>
      <protection/>
    </xf>
    <xf numFmtId="0" fontId="17" fillId="0" borderId="22" xfId="21" applyFont="1" applyFill="1" applyBorder="1" applyAlignment="1">
      <alignment horizontal="center"/>
      <protection/>
    </xf>
    <xf numFmtId="0" fontId="16" fillId="0" borderId="1" xfId="21" applyFont="1" applyFill="1" applyBorder="1" applyAlignment="1">
      <alignment horizontal="center"/>
      <protection/>
    </xf>
    <xf numFmtId="0" fontId="17" fillId="0" borderId="1" xfId="21" applyFont="1" applyFill="1" applyBorder="1" applyAlignment="1">
      <alignment horizontal="center" vertical="center" wrapText="1"/>
      <protection/>
    </xf>
    <xf numFmtId="0" fontId="17" fillId="0" borderId="1" xfId="21" applyFont="1" applyFill="1" applyBorder="1" applyAlignment="1">
      <alignment horizontal="center"/>
      <protection/>
    </xf>
    <xf numFmtId="0" fontId="17" fillId="0" borderId="2" xfId="21" applyFont="1" applyFill="1" applyBorder="1" applyAlignment="1">
      <alignment horizontal="center"/>
      <protection/>
    </xf>
    <xf numFmtId="0" fontId="17" fillId="2" borderId="23" xfId="21" applyFont="1" applyFill="1" applyBorder="1" applyAlignment="1">
      <alignment horizontal="center"/>
      <protection/>
    </xf>
    <xf numFmtId="0" fontId="16" fillId="2" borderId="1" xfId="21" applyFont="1" applyFill="1" applyBorder="1" applyAlignment="1">
      <alignment horizontal="center"/>
      <protection/>
    </xf>
    <xf numFmtId="0" fontId="17" fillId="2" borderId="1" xfId="21" applyFont="1" applyFill="1" applyBorder="1" applyAlignment="1">
      <alignment horizontal="center"/>
      <protection/>
    </xf>
    <xf numFmtId="0" fontId="17" fillId="0" borderId="24" xfId="21" applyFont="1" applyFill="1" applyBorder="1" applyAlignment="1">
      <alignment horizontal="center"/>
      <protection/>
    </xf>
    <xf numFmtId="0" fontId="16" fillId="0" borderId="25" xfId="21" applyFont="1" applyFill="1" applyBorder="1" applyAlignment="1">
      <alignment horizontal="center"/>
      <protection/>
    </xf>
    <xf numFmtId="0" fontId="17" fillId="0" borderId="25" xfId="21" applyFont="1" applyFill="1" applyBorder="1" applyAlignment="1">
      <alignment horizontal="center" vertical="center" wrapText="1"/>
      <protection/>
    </xf>
    <xf numFmtId="0" fontId="17" fillId="0" borderId="25" xfId="21" applyFont="1" applyFill="1" applyBorder="1" applyAlignment="1">
      <alignment horizontal="center"/>
      <protection/>
    </xf>
    <xf numFmtId="0" fontId="17" fillId="0" borderId="26" xfId="21" applyFont="1" applyFill="1" applyBorder="1" applyAlignment="1">
      <alignment horizontal="center"/>
      <protection/>
    </xf>
    <xf numFmtId="0" fontId="17" fillId="2" borderId="27" xfId="21" applyFont="1" applyFill="1" applyBorder="1" applyAlignment="1">
      <alignment horizontal="center"/>
      <protection/>
    </xf>
    <xf numFmtId="0" fontId="16" fillId="2" borderId="25" xfId="21" applyFont="1" applyFill="1" applyBorder="1" applyAlignment="1">
      <alignment horizontal="center"/>
      <protection/>
    </xf>
    <xf numFmtId="0" fontId="17" fillId="2" borderId="25" xfId="21" applyFont="1" applyFill="1" applyBorder="1" applyAlignment="1">
      <alignment horizontal="center"/>
      <protection/>
    </xf>
    <xf numFmtId="0" fontId="17" fillId="0" borderId="28" xfId="21" applyFont="1" applyFill="1" applyBorder="1" applyAlignment="1">
      <alignment horizontal="center"/>
      <protection/>
    </xf>
    <xf numFmtId="2" fontId="17" fillId="2" borderId="16" xfId="21" applyNumberFormat="1" applyFont="1" applyFill="1" applyBorder="1" applyAlignment="1">
      <alignment horizontal="center" vertical="center"/>
      <protection/>
    </xf>
    <xf numFmtId="2" fontId="17" fillId="2" borderId="1" xfId="21" applyNumberFormat="1" applyFont="1" applyFill="1" applyBorder="1" applyAlignment="1">
      <alignment horizontal="center" vertical="center"/>
      <protection/>
    </xf>
    <xf numFmtId="2" fontId="17" fillId="2" borderId="25" xfId="21" applyNumberFormat="1" applyFont="1" applyFill="1" applyBorder="1" applyAlignment="1">
      <alignment horizontal="center" vertical="center"/>
      <protection/>
    </xf>
    <xf numFmtId="164" fontId="16" fillId="2" borderId="24" xfId="0" applyNumberFormat="1" applyFont="1" applyFill="1" applyBorder="1" applyAlignment="1">
      <alignment horizontal="center" vertical="center"/>
    </xf>
    <xf numFmtId="0" fontId="4" fillId="2" borderId="16" xfId="21" applyFont="1" applyFill="1" applyBorder="1" applyAlignment="1">
      <alignment horizontal="left" vertical="center"/>
      <protection/>
    </xf>
    <xf numFmtId="2" fontId="17" fillId="2" borderId="22" xfId="21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left" vertical="center"/>
      <protection/>
    </xf>
    <xf numFmtId="164" fontId="16" fillId="2" borderId="1" xfId="0" applyNumberFormat="1" applyFont="1" applyFill="1" applyBorder="1" applyAlignment="1">
      <alignment horizontal="center" vertical="center"/>
    </xf>
    <xf numFmtId="2" fontId="17" fillId="2" borderId="24" xfId="21" applyNumberFormat="1" applyFont="1" applyFill="1" applyBorder="1" applyAlignment="1">
      <alignment horizontal="center" vertical="center"/>
      <protection/>
    </xf>
    <xf numFmtId="0" fontId="4" fillId="2" borderId="25" xfId="21" applyFont="1" applyFill="1" applyBorder="1" applyAlignment="1">
      <alignment horizontal="left" vertical="center"/>
      <protection/>
    </xf>
    <xf numFmtId="2" fontId="17" fillId="2" borderId="28" xfId="21" applyNumberFormat="1" applyFont="1" applyFill="1" applyBorder="1" applyAlignment="1">
      <alignment horizontal="center" vertical="center"/>
      <protection/>
    </xf>
    <xf numFmtId="2" fontId="17" fillId="2" borderId="20" xfId="21" applyNumberFormat="1" applyFont="1" applyFill="1" applyBorder="1" applyAlignment="1">
      <alignment horizontal="center" vertical="center"/>
      <protection/>
    </xf>
    <xf numFmtId="2" fontId="17" fillId="2" borderId="7" xfId="21" applyNumberFormat="1" applyFont="1" applyFill="1" applyBorder="1" applyAlignment="1">
      <alignment horizontal="center" vertical="center"/>
      <protection/>
    </xf>
    <xf numFmtId="164" fontId="16" fillId="2" borderId="22" xfId="0" applyNumberFormat="1" applyFont="1" applyFill="1" applyBorder="1" applyAlignment="1">
      <alignment horizontal="center" vertical="center"/>
    </xf>
    <xf numFmtId="164" fontId="16" fillId="2" borderId="28" xfId="0" applyNumberFormat="1" applyFont="1" applyFill="1" applyBorder="1" applyAlignment="1">
      <alignment horizontal="center" vertical="center"/>
    </xf>
    <xf numFmtId="49" fontId="16" fillId="0" borderId="29" xfId="21" applyNumberFormat="1" applyFont="1" applyFill="1" applyBorder="1" applyAlignment="1">
      <alignment horizontal="center" vertical="center"/>
      <protection/>
    </xf>
    <xf numFmtId="0" fontId="17" fillId="2" borderId="30" xfId="21" applyFont="1" applyFill="1" applyBorder="1" applyAlignment="1">
      <alignment horizontal="center" vertical="center" wrapText="1"/>
      <protection/>
    </xf>
    <xf numFmtId="0" fontId="17" fillId="2" borderId="30" xfId="21" applyFont="1" applyFill="1" applyBorder="1" applyAlignment="1">
      <alignment horizontal="center"/>
      <protection/>
    </xf>
    <xf numFmtId="0" fontId="16" fillId="2" borderId="30" xfId="21" applyFont="1" applyFill="1" applyBorder="1" applyAlignment="1">
      <alignment horizontal="center"/>
      <protection/>
    </xf>
    <xf numFmtId="0" fontId="17" fillId="2" borderId="31" xfId="21" applyFont="1" applyFill="1" applyBorder="1" applyAlignment="1">
      <alignment horizontal="center"/>
      <protection/>
    </xf>
    <xf numFmtId="0" fontId="17" fillId="2" borderId="32" xfId="21" applyFont="1" applyFill="1" applyBorder="1" applyAlignment="1">
      <alignment horizontal="center"/>
      <protection/>
    </xf>
    <xf numFmtId="0" fontId="17" fillId="0" borderId="30" xfId="21" applyFont="1" applyFill="1" applyBorder="1" applyAlignment="1">
      <alignment horizontal="center"/>
      <protection/>
    </xf>
    <xf numFmtId="0" fontId="16" fillId="0" borderId="30" xfId="21" applyFont="1" applyFill="1" applyBorder="1" applyAlignment="1">
      <alignment horizontal="center"/>
      <protection/>
    </xf>
    <xf numFmtId="0" fontId="17" fillId="0" borderId="33" xfId="21" applyFont="1" applyFill="1" applyBorder="1" applyAlignment="1">
      <alignment horizontal="center"/>
      <protection/>
    </xf>
    <xf numFmtId="164" fontId="19" fillId="2" borderId="34" xfId="0" applyNumberFormat="1" applyFont="1" applyFill="1" applyBorder="1" applyAlignment="1">
      <alignment horizontal="center"/>
    </xf>
    <xf numFmtId="164" fontId="19" fillId="2" borderId="35" xfId="0" applyNumberFormat="1" applyFont="1" applyFill="1" applyBorder="1" applyAlignment="1">
      <alignment horizontal="center"/>
    </xf>
    <xf numFmtId="164" fontId="19" fillId="2" borderId="36" xfId="0" applyNumberFormat="1" applyFont="1" applyFill="1" applyBorder="1" applyAlignment="1">
      <alignment horizontal="center"/>
    </xf>
    <xf numFmtId="2" fontId="16" fillId="2" borderId="7" xfId="21" applyNumberFormat="1" applyFont="1" applyFill="1" applyBorder="1" applyAlignment="1">
      <alignment horizontal="center" vertical="center"/>
      <protection/>
    </xf>
    <xf numFmtId="0" fontId="20" fillId="0" borderId="0" xfId="21" applyFont="1" applyFill="1">
      <alignment/>
      <protection/>
    </xf>
    <xf numFmtId="0" fontId="14" fillId="0" borderId="0" xfId="21" applyFont="1" applyFill="1">
      <alignment/>
      <protection/>
    </xf>
    <xf numFmtId="0" fontId="14" fillId="2" borderId="0" xfId="21" applyFont="1" applyFill="1">
      <alignment/>
      <protection/>
    </xf>
    <xf numFmtId="0" fontId="16" fillId="2" borderId="0" xfId="21" applyFont="1" applyFill="1">
      <alignment/>
      <protection/>
    </xf>
    <xf numFmtId="0" fontId="5" fillId="2" borderId="0" xfId="21" applyFont="1" applyFill="1">
      <alignment/>
      <protection/>
    </xf>
    <xf numFmtId="0" fontId="4" fillId="2" borderId="0" xfId="21" applyFont="1" applyFill="1">
      <alignment/>
      <protection/>
    </xf>
    <xf numFmtId="0" fontId="4" fillId="4" borderId="16" xfId="21" applyFont="1" applyFill="1" applyBorder="1" applyAlignment="1">
      <alignment horizontal="left" vertical="center"/>
      <protection/>
    </xf>
    <xf numFmtId="0" fontId="16" fillId="4" borderId="16" xfId="21" applyFont="1" applyFill="1" applyBorder="1" applyAlignment="1">
      <alignment horizontal="center"/>
      <protection/>
    </xf>
    <xf numFmtId="0" fontId="17" fillId="4" borderId="16" xfId="21" applyFont="1" applyFill="1" applyBorder="1" applyAlignment="1">
      <alignment horizontal="center" vertical="center" wrapText="1"/>
      <protection/>
    </xf>
    <xf numFmtId="0" fontId="17" fillId="4" borderId="16" xfId="21" applyFont="1" applyFill="1" applyBorder="1" applyAlignment="1">
      <alignment horizontal="center"/>
      <protection/>
    </xf>
    <xf numFmtId="0" fontId="17" fillId="4" borderId="17" xfId="21" applyFont="1" applyFill="1" applyBorder="1" applyAlignment="1">
      <alignment horizontal="center"/>
      <protection/>
    </xf>
    <xf numFmtId="2" fontId="17" fillId="4" borderId="34" xfId="21" applyNumberFormat="1" applyFont="1" applyFill="1" applyBorder="1" applyAlignment="1">
      <alignment horizontal="center" vertical="center" wrapText="1"/>
      <protection/>
    </xf>
    <xf numFmtId="164" fontId="16" fillId="4" borderId="16" xfId="0" applyNumberFormat="1" applyFont="1" applyFill="1" applyBorder="1" applyAlignment="1">
      <alignment horizontal="center" vertical="center"/>
    </xf>
    <xf numFmtId="2" fontId="17" fillId="4" borderId="22" xfId="21" applyNumberFormat="1" applyFont="1" applyFill="1" applyBorder="1" applyAlignment="1">
      <alignment horizontal="center" vertical="center"/>
      <protection/>
    </xf>
    <xf numFmtId="0" fontId="4" fillId="4" borderId="1" xfId="21" applyFont="1" applyFill="1" applyBorder="1" applyAlignment="1">
      <alignment horizontal="left" vertical="center"/>
      <protection/>
    </xf>
    <xf numFmtId="0" fontId="16" fillId="4" borderId="1" xfId="21" applyFont="1" applyFill="1" applyBorder="1" applyAlignment="1">
      <alignment horizontal="center"/>
      <protection/>
    </xf>
    <xf numFmtId="0" fontId="17" fillId="4" borderId="1" xfId="21" applyFont="1" applyFill="1" applyBorder="1" applyAlignment="1">
      <alignment horizontal="center" vertical="center" wrapText="1"/>
      <protection/>
    </xf>
    <xf numFmtId="0" fontId="17" fillId="4" borderId="1" xfId="21" applyFont="1" applyFill="1" applyBorder="1" applyAlignment="1">
      <alignment horizontal="center"/>
      <protection/>
    </xf>
    <xf numFmtId="0" fontId="17" fillId="4" borderId="2" xfId="21" applyFont="1" applyFill="1" applyBorder="1" applyAlignment="1">
      <alignment horizontal="center"/>
      <protection/>
    </xf>
    <xf numFmtId="2" fontId="17" fillId="4" borderId="35" xfId="21" applyNumberFormat="1" applyFont="1" applyFill="1" applyBorder="1" applyAlignment="1">
      <alignment horizontal="center" vertical="center" wrapText="1"/>
      <protection/>
    </xf>
    <xf numFmtId="164" fontId="16" fillId="4" borderId="1" xfId="0" applyNumberFormat="1" applyFont="1" applyFill="1" applyBorder="1" applyAlignment="1">
      <alignment horizontal="center" vertical="center"/>
    </xf>
    <xf numFmtId="2" fontId="17" fillId="4" borderId="24" xfId="21" applyNumberFormat="1" applyFont="1" applyFill="1" applyBorder="1" applyAlignment="1">
      <alignment horizontal="center" vertical="center"/>
      <protection/>
    </xf>
    <xf numFmtId="0" fontId="4" fillId="4" borderId="25" xfId="21" applyFont="1" applyFill="1" applyBorder="1" applyAlignment="1">
      <alignment horizontal="left" vertical="center"/>
      <protection/>
    </xf>
    <xf numFmtId="0" fontId="16" fillId="4" borderId="25" xfId="21" applyFont="1" applyFill="1" applyBorder="1" applyAlignment="1">
      <alignment horizontal="center"/>
      <protection/>
    </xf>
    <xf numFmtId="0" fontId="17" fillId="4" borderId="25" xfId="21" applyFont="1" applyFill="1" applyBorder="1" applyAlignment="1">
      <alignment horizontal="center" vertical="center" wrapText="1"/>
      <protection/>
    </xf>
    <xf numFmtId="0" fontId="17" fillId="4" borderId="25" xfId="21" applyFont="1" applyFill="1" applyBorder="1" applyAlignment="1">
      <alignment horizontal="center"/>
      <protection/>
    </xf>
    <xf numFmtId="0" fontId="17" fillId="4" borderId="26" xfId="21" applyFont="1" applyFill="1" applyBorder="1" applyAlignment="1">
      <alignment horizontal="center"/>
      <protection/>
    </xf>
    <xf numFmtId="2" fontId="17" fillId="4" borderId="36" xfId="21" applyNumberFormat="1" applyFont="1" applyFill="1" applyBorder="1" applyAlignment="1">
      <alignment horizontal="center" vertical="center" wrapText="1"/>
      <protection/>
    </xf>
    <xf numFmtId="164" fontId="16" fillId="4" borderId="25" xfId="0" applyNumberFormat="1" applyFont="1" applyFill="1" applyBorder="1" applyAlignment="1">
      <alignment horizontal="center" vertical="center"/>
    </xf>
    <xf numFmtId="2" fontId="17" fillId="4" borderId="28" xfId="21" applyNumberFormat="1" applyFont="1" applyFill="1" applyBorder="1" applyAlignment="1">
      <alignment horizontal="center" vertical="center"/>
      <protection/>
    </xf>
    <xf numFmtId="2" fontId="17" fillId="4" borderId="18" xfId="21" applyNumberFormat="1" applyFont="1" applyFill="1" applyBorder="1" applyAlignment="1">
      <alignment horizontal="center" vertical="center" wrapText="1"/>
      <protection/>
    </xf>
    <xf numFmtId="164" fontId="16" fillId="4" borderId="19" xfId="0" applyNumberFormat="1" applyFont="1" applyFill="1" applyBorder="1" applyAlignment="1">
      <alignment horizontal="center" vertical="center"/>
    </xf>
    <xf numFmtId="2" fontId="17" fillId="4" borderId="20" xfId="21" applyNumberFormat="1" applyFont="1" applyFill="1" applyBorder="1" applyAlignment="1">
      <alignment horizontal="center" vertical="center"/>
      <protection/>
    </xf>
    <xf numFmtId="2" fontId="17" fillId="4" borderId="6" xfId="21" applyNumberFormat="1" applyFont="1" applyFill="1" applyBorder="1" applyAlignment="1">
      <alignment horizontal="center" vertical="center" wrapText="1"/>
      <protection/>
    </xf>
    <xf numFmtId="164" fontId="16" fillId="4" borderId="3" xfId="0" applyNumberFormat="1" applyFont="1" applyFill="1" applyBorder="1" applyAlignment="1">
      <alignment horizontal="center" vertical="center"/>
    </xf>
    <xf numFmtId="2" fontId="17" fillId="4" borderId="7" xfId="21" applyNumberFormat="1" applyFont="1" applyFill="1" applyBorder="1" applyAlignment="1">
      <alignment horizontal="center" vertical="center"/>
      <protection/>
    </xf>
    <xf numFmtId="164" fontId="16" fillId="4" borderId="17" xfId="0" applyNumberFormat="1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164" fontId="16" fillId="4" borderId="26" xfId="0" applyNumberFormat="1" applyFont="1" applyFill="1" applyBorder="1" applyAlignment="1">
      <alignment horizontal="center" vertical="center"/>
    </xf>
    <xf numFmtId="0" fontId="4" fillId="4" borderId="9" xfId="21" applyFont="1" applyFill="1" applyBorder="1" applyAlignment="1">
      <alignment horizontal="left" vertical="center"/>
      <protection/>
    </xf>
    <xf numFmtId="0" fontId="4" fillId="4" borderId="30" xfId="21" applyFont="1" applyFill="1" applyBorder="1" applyAlignment="1">
      <alignment horizontal="left" vertical="center"/>
      <protection/>
    </xf>
    <xf numFmtId="0" fontId="4" fillId="4" borderId="37" xfId="21" applyFont="1" applyFill="1" applyBorder="1" applyAlignment="1">
      <alignment horizontal="left" vertical="center"/>
      <protection/>
    </xf>
    <xf numFmtId="2" fontId="16" fillId="4" borderId="20" xfId="21" applyNumberFormat="1" applyFont="1" applyFill="1" applyBorder="1" applyAlignment="1">
      <alignment horizontal="center" vertical="center"/>
      <protection/>
    </xf>
    <xf numFmtId="2" fontId="16" fillId="4" borderId="24" xfId="21" applyNumberFormat="1" applyFont="1" applyFill="1" applyBorder="1" applyAlignment="1">
      <alignment horizontal="center" vertical="center"/>
      <protection/>
    </xf>
    <xf numFmtId="2" fontId="16" fillId="4" borderId="7" xfId="21" applyNumberFormat="1" applyFont="1" applyFill="1" applyBorder="1" applyAlignment="1">
      <alignment horizontal="center" vertical="center"/>
      <protection/>
    </xf>
    <xf numFmtId="0" fontId="4" fillId="5" borderId="16" xfId="21" applyFont="1" applyFill="1" applyBorder="1" applyAlignment="1">
      <alignment horizontal="left" vertical="center"/>
      <protection/>
    </xf>
    <xf numFmtId="0" fontId="16" fillId="5" borderId="16" xfId="21" applyFont="1" applyFill="1" applyBorder="1" applyAlignment="1">
      <alignment horizontal="center"/>
      <protection/>
    </xf>
    <xf numFmtId="0" fontId="17" fillId="5" borderId="16" xfId="21" applyFont="1" applyFill="1" applyBorder="1" applyAlignment="1">
      <alignment horizontal="center" vertical="center" wrapText="1"/>
      <protection/>
    </xf>
    <xf numFmtId="0" fontId="17" fillId="5" borderId="16" xfId="21" applyFont="1" applyFill="1" applyBorder="1" applyAlignment="1">
      <alignment horizontal="center"/>
      <protection/>
    </xf>
    <xf numFmtId="0" fontId="17" fillId="5" borderId="17" xfId="21" applyFont="1" applyFill="1" applyBorder="1" applyAlignment="1">
      <alignment horizontal="center"/>
      <protection/>
    </xf>
    <xf numFmtId="2" fontId="17" fillId="5" borderId="18" xfId="21" applyNumberFormat="1" applyFont="1" applyFill="1" applyBorder="1" applyAlignment="1">
      <alignment horizontal="center" vertical="center" wrapText="1"/>
      <protection/>
    </xf>
    <xf numFmtId="2" fontId="17" fillId="5" borderId="19" xfId="21" applyNumberFormat="1" applyFont="1" applyFill="1" applyBorder="1" applyAlignment="1">
      <alignment horizontal="center" vertical="center"/>
      <protection/>
    </xf>
    <xf numFmtId="164" fontId="16" fillId="5" borderId="20" xfId="0" applyNumberFormat="1" applyFont="1" applyFill="1" applyBorder="1" applyAlignment="1">
      <alignment horizontal="center" vertical="center"/>
    </xf>
    <xf numFmtId="0" fontId="4" fillId="5" borderId="1" xfId="21" applyFont="1" applyFill="1" applyBorder="1" applyAlignment="1">
      <alignment horizontal="left" vertical="center"/>
      <protection/>
    </xf>
    <xf numFmtId="0" fontId="16" fillId="5" borderId="1" xfId="21" applyFont="1" applyFill="1" applyBorder="1" applyAlignment="1">
      <alignment horizontal="center"/>
      <protection/>
    </xf>
    <xf numFmtId="0" fontId="17" fillId="5" borderId="1" xfId="21" applyFont="1" applyFill="1" applyBorder="1" applyAlignment="1">
      <alignment horizontal="center" vertical="center" wrapText="1"/>
      <protection/>
    </xf>
    <xf numFmtId="0" fontId="17" fillId="5" borderId="1" xfId="21" applyFont="1" applyFill="1" applyBorder="1" applyAlignment="1">
      <alignment horizontal="center"/>
      <protection/>
    </xf>
    <xf numFmtId="0" fontId="17" fillId="5" borderId="2" xfId="21" applyFont="1" applyFill="1" applyBorder="1" applyAlignment="1">
      <alignment horizontal="center"/>
      <protection/>
    </xf>
    <xf numFmtId="2" fontId="17" fillId="5" borderId="35" xfId="21" applyNumberFormat="1" applyFont="1" applyFill="1" applyBorder="1" applyAlignment="1">
      <alignment horizontal="center" vertical="center" wrapText="1"/>
      <protection/>
    </xf>
    <xf numFmtId="2" fontId="17" fillId="5" borderId="1" xfId="21" applyNumberFormat="1" applyFont="1" applyFill="1" applyBorder="1" applyAlignment="1">
      <alignment horizontal="center" vertical="center"/>
      <protection/>
    </xf>
    <xf numFmtId="164" fontId="16" fillId="5" borderId="24" xfId="0" applyNumberFormat="1" applyFont="1" applyFill="1" applyBorder="1" applyAlignment="1">
      <alignment horizontal="center" vertical="center"/>
    </xf>
    <xf numFmtId="0" fontId="4" fillId="5" borderId="25" xfId="21" applyFont="1" applyFill="1" applyBorder="1" applyAlignment="1">
      <alignment horizontal="left" vertical="center"/>
      <protection/>
    </xf>
    <xf numFmtId="0" fontId="16" fillId="5" borderId="25" xfId="21" applyFont="1" applyFill="1" applyBorder="1" applyAlignment="1">
      <alignment horizontal="center"/>
      <protection/>
    </xf>
    <xf numFmtId="0" fontId="17" fillId="5" borderId="25" xfId="21" applyFont="1" applyFill="1" applyBorder="1" applyAlignment="1">
      <alignment horizontal="center" vertical="center" wrapText="1"/>
      <protection/>
    </xf>
    <xf numFmtId="0" fontId="17" fillId="5" borderId="25" xfId="21" applyFont="1" applyFill="1" applyBorder="1" applyAlignment="1">
      <alignment horizontal="center"/>
      <protection/>
    </xf>
    <xf numFmtId="0" fontId="17" fillId="5" borderId="26" xfId="21" applyFont="1" applyFill="1" applyBorder="1" applyAlignment="1">
      <alignment horizontal="center"/>
      <protection/>
    </xf>
    <xf numFmtId="2" fontId="17" fillId="5" borderId="6" xfId="21" applyNumberFormat="1" applyFont="1" applyFill="1" applyBorder="1" applyAlignment="1">
      <alignment horizontal="center" vertical="center" wrapText="1"/>
      <protection/>
    </xf>
    <xf numFmtId="2" fontId="17" fillId="5" borderId="3" xfId="21" applyNumberFormat="1" applyFont="1" applyFill="1" applyBorder="1" applyAlignment="1">
      <alignment horizontal="center" vertical="center"/>
      <protection/>
    </xf>
    <xf numFmtId="164" fontId="16" fillId="5" borderId="7" xfId="0" applyNumberFormat="1" applyFont="1" applyFill="1" applyBorder="1" applyAlignment="1">
      <alignment horizontal="center" vertical="center"/>
    </xf>
    <xf numFmtId="2" fontId="17" fillId="5" borderId="34" xfId="21" applyNumberFormat="1" applyFont="1" applyFill="1" applyBorder="1" applyAlignment="1">
      <alignment horizontal="center" vertical="center" wrapText="1"/>
      <protection/>
    </xf>
    <xf numFmtId="2" fontId="17" fillId="5" borderId="16" xfId="21" applyNumberFormat="1" applyFont="1" applyFill="1" applyBorder="1" applyAlignment="1">
      <alignment horizontal="center" vertical="center"/>
      <protection/>
    </xf>
    <xf numFmtId="164" fontId="16" fillId="5" borderId="22" xfId="0" applyNumberFormat="1" applyFont="1" applyFill="1" applyBorder="1" applyAlignment="1">
      <alignment horizontal="center" vertical="center"/>
    </xf>
    <xf numFmtId="2" fontId="17" fillId="5" borderId="36" xfId="21" applyNumberFormat="1" applyFont="1" applyFill="1" applyBorder="1" applyAlignment="1">
      <alignment horizontal="center" vertical="center" wrapText="1"/>
      <protection/>
    </xf>
    <xf numFmtId="2" fontId="17" fillId="5" borderId="25" xfId="21" applyNumberFormat="1" applyFont="1" applyFill="1" applyBorder="1" applyAlignment="1">
      <alignment horizontal="center" vertical="center"/>
      <protection/>
    </xf>
    <xf numFmtId="164" fontId="16" fillId="5" borderId="28" xfId="0" applyNumberFormat="1" applyFont="1" applyFill="1" applyBorder="1" applyAlignment="1">
      <alignment horizontal="center" vertical="center"/>
    </xf>
    <xf numFmtId="2" fontId="17" fillId="5" borderId="17" xfId="21" applyNumberFormat="1" applyFont="1" applyFill="1" applyBorder="1" applyAlignment="1">
      <alignment horizontal="center" vertical="center"/>
      <protection/>
    </xf>
    <xf numFmtId="2" fontId="17" fillId="5" borderId="2" xfId="21" applyNumberFormat="1" applyFont="1" applyFill="1" applyBorder="1" applyAlignment="1">
      <alignment horizontal="center" vertical="center"/>
      <protection/>
    </xf>
    <xf numFmtId="2" fontId="17" fillId="5" borderId="26" xfId="21" applyNumberFormat="1" applyFont="1" applyFill="1" applyBorder="1" applyAlignment="1">
      <alignment horizontal="center" vertical="center"/>
      <protection/>
    </xf>
    <xf numFmtId="164" fontId="16" fillId="5" borderId="16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164" fontId="16" fillId="5" borderId="25" xfId="0" applyNumberFormat="1" applyFont="1" applyFill="1" applyBorder="1" applyAlignment="1">
      <alignment horizontal="center" vertical="center"/>
    </xf>
    <xf numFmtId="0" fontId="4" fillId="5" borderId="9" xfId="21" applyFont="1" applyFill="1" applyBorder="1" applyAlignment="1">
      <alignment horizontal="left" vertical="center"/>
      <protection/>
    </xf>
    <xf numFmtId="0" fontId="4" fillId="5" borderId="30" xfId="21" applyFont="1" applyFill="1" applyBorder="1" applyAlignment="1">
      <alignment horizontal="left" vertical="center"/>
      <protection/>
    </xf>
    <xf numFmtId="0" fontId="4" fillId="5" borderId="37" xfId="21" applyFont="1" applyFill="1" applyBorder="1" applyAlignment="1">
      <alignment horizontal="left" vertical="center"/>
      <protection/>
    </xf>
    <xf numFmtId="164" fontId="0" fillId="0" borderId="0" xfId="0" applyNumberFormat="1"/>
    <xf numFmtId="2" fontId="0" fillId="0" borderId="0" xfId="0" applyNumberFormat="1"/>
    <xf numFmtId="0" fontId="4" fillId="6" borderId="16" xfId="21" applyFont="1" applyFill="1" applyBorder="1" applyAlignment="1">
      <alignment horizontal="left" vertical="center"/>
      <protection/>
    </xf>
    <xf numFmtId="0" fontId="16" fillId="6" borderId="16" xfId="21" applyFont="1" applyFill="1" applyBorder="1" applyAlignment="1">
      <alignment horizontal="center"/>
      <protection/>
    </xf>
    <xf numFmtId="0" fontId="17" fillId="6" borderId="16" xfId="21" applyFont="1" applyFill="1" applyBorder="1" applyAlignment="1">
      <alignment horizontal="center" vertical="center" wrapText="1"/>
      <protection/>
    </xf>
    <xf numFmtId="0" fontId="17" fillId="6" borderId="16" xfId="21" applyFont="1" applyFill="1" applyBorder="1" applyAlignment="1">
      <alignment horizontal="center"/>
      <protection/>
    </xf>
    <xf numFmtId="0" fontId="17" fillId="6" borderId="17" xfId="21" applyFont="1" applyFill="1" applyBorder="1" applyAlignment="1">
      <alignment horizontal="center"/>
      <protection/>
    </xf>
    <xf numFmtId="2" fontId="17" fillId="6" borderId="34" xfId="21" applyNumberFormat="1" applyFont="1" applyFill="1" applyBorder="1" applyAlignment="1">
      <alignment horizontal="center" vertical="center" wrapText="1"/>
      <protection/>
    </xf>
    <xf numFmtId="2" fontId="17" fillId="6" borderId="16" xfId="21" applyNumberFormat="1" applyFont="1" applyFill="1" applyBorder="1" applyAlignment="1">
      <alignment horizontal="center" vertical="center"/>
      <protection/>
    </xf>
    <xf numFmtId="164" fontId="16" fillId="6" borderId="22" xfId="0" applyNumberFormat="1" applyFont="1" applyFill="1" applyBorder="1" applyAlignment="1">
      <alignment horizontal="center" vertical="center"/>
    </xf>
    <xf numFmtId="0" fontId="4" fillId="6" borderId="1" xfId="21" applyFont="1" applyFill="1" applyBorder="1" applyAlignment="1">
      <alignment horizontal="left" vertical="center"/>
      <protection/>
    </xf>
    <xf numFmtId="0" fontId="16" fillId="6" borderId="1" xfId="21" applyFont="1" applyFill="1" applyBorder="1" applyAlignment="1">
      <alignment horizontal="center"/>
      <protection/>
    </xf>
    <xf numFmtId="0" fontId="17" fillId="6" borderId="1" xfId="21" applyFont="1" applyFill="1" applyBorder="1" applyAlignment="1">
      <alignment horizontal="center" vertical="center" wrapText="1"/>
      <protection/>
    </xf>
    <xf numFmtId="0" fontId="17" fillId="6" borderId="1" xfId="21" applyFont="1" applyFill="1" applyBorder="1" applyAlignment="1">
      <alignment horizontal="center"/>
      <protection/>
    </xf>
    <xf numFmtId="0" fontId="17" fillId="6" borderId="2" xfId="21" applyFont="1" applyFill="1" applyBorder="1" applyAlignment="1">
      <alignment horizontal="center"/>
      <protection/>
    </xf>
    <xf numFmtId="2" fontId="17" fillId="6" borderId="35" xfId="21" applyNumberFormat="1" applyFont="1" applyFill="1" applyBorder="1" applyAlignment="1">
      <alignment horizontal="center" vertical="center" wrapText="1"/>
      <protection/>
    </xf>
    <xf numFmtId="2" fontId="17" fillId="6" borderId="1" xfId="21" applyNumberFormat="1" applyFont="1" applyFill="1" applyBorder="1" applyAlignment="1">
      <alignment horizontal="center" vertical="center"/>
      <protection/>
    </xf>
    <xf numFmtId="164" fontId="16" fillId="6" borderId="24" xfId="0" applyNumberFormat="1" applyFont="1" applyFill="1" applyBorder="1" applyAlignment="1">
      <alignment horizontal="center" vertical="center"/>
    </xf>
    <xf numFmtId="0" fontId="4" fillId="6" borderId="25" xfId="21" applyFont="1" applyFill="1" applyBorder="1" applyAlignment="1">
      <alignment horizontal="left" vertical="center"/>
      <protection/>
    </xf>
    <xf numFmtId="0" fontId="16" fillId="6" borderId="25" xfId="21" applyFont="1" applyFill="1" applyBorder="1" applyAlignment="1">
      <alignment horizontal="center"/>
      <protection/>
    </xf>
    <xf numFmtId="0" fontId="17" fillId="6" borderId="25" xfId="21" applyFont="1" applyFill="1" applyBorder="1" applyAlignment="1">
      <alignment horizontal="center" vertical="center" wrapText="1"/>
      <protection/>
    </xf>
    <xf numFmtId="0" fontId="17" fillId="6" borderId="25" xfId="21" applyFont="1" applyFill="1" applyBorder="1" applyAlignment="1">
      <alignment horizontal="center"/>
      <protection/>
    </xf>
    <xf numFmtId="0" fontId="17" fillId="6" borderId="26" xfId="21" applyFont="1" applyFill="1" applyBorder="1" applyAlignment="1">
      <alignment horizontal="center"/>
      <protection/>
    </xf>
    <xf numFmtId="2" fontId="17" fillId="6" borderId="36" xfId="21" applyNumberFormat="1" applyFont="1" applyFill="1" applyBorder="1" applyAlignment="1">
      <alignment horizontal="center" vertical="center" wrapText="1"/>
      <protection/>
    </xf>
    <xf numFmtId="2" fontId="17" fillId="6" borderId="25" xfId="21" applyNumberFormat="1" applyFont="1" applyFill="1" applyBorder="1" applyAlignment="1">
      <alignment horizontal="center" vertical="center"/>
      <protection/>
    </xf>
    <xf numFmtId="164" fontId="16" fillId="6" borderId="28" xfId="0" applyNumberFormat="1" applyFont="1" applyFill="1" applyBorder="1" applyAlignment="1">
      <alignment horizontal="center" vertical="center"/>
    </xf>
    <xf numFmtId="2" fontId="17" fillId="6" borderId="18" xfId="21" applyNumberFormat="1" applyFont="1" applyFill="1" applyBorder="1" applyAlignment="1">
      <alignment horizontal="center" vertical="center" wrapText="1"/>
      <protection/>
    </xf>
    <xf numFmtId="2" fontId="17" fillId="6" borderId="38" xfId="21" applyNumberFormat="1" applyFont="1" applyFill="1" applyBorder="1" applyAlignment="1">
      <alignment horizontal="center" vertical="center"/>
      <protection/>
    </xf>
    <xf numFmtId="164" fontId="16" fillId="6" borderId="20" xfId="0" applyNumberFormat="1" applyFont="1" applyFill="1" applyBorder="1" applyAlignment="1">
      <alignment horizontal="center" vertical="center"/>
    </xf>
    <xf numFmtId="2" fontId="17" fillId="6" borderId="2" xfId="21" applyNumberFormat="1" applyFont="1" applyFill="1" applyBorder="1" applyAlignment="1">
      <alignment horizontal="center" vertical="center"/>
      <protection/>
    </xf>
    <xf numFmtId="2" fontId="17" fillId="6" borderId="6" xfId="21" applyNumberFormat="1" applyFont="1" applyFill="1" applyBorder="1" applyAlignment="1">
      <alignment horizontal="center" vertical="center" wrapText="1"/>
      <protection/>
    </xf>
    <xf numFmtId="2" fontId="17" fillId="6" borderId="5" xfId="21" applyNumberFormat="1" applyFont="1" applyFill="1" applyBorder="1" applyAlignment="1">
      <alignment horizontal="center" vertical="center"/>
      <protection/>
    </xf>
    <xf numFmtId="164" fontId="16" fillId="6" borderId="7" xfId="0" applyNumberFormat="1" applyFont="1" applyFill="1" applyBorder="1" applyAlignment="1">
      <alignment horizontal="center" vertical="center"/>
    </xf>
    <xf numFmtId="2" fontId="17" fillId="6" borderId="19" xfId="21" applyNumberFormat="1" applyFont="1" applyFill="1" applyBorder="1" applyAlignment="1">
      <alignment horizontal="center" vertical="center"/>
      <protection/>
    </xf>
    <xf numFmtId="2" fontId="17" fillId="6" borderId="3" xfId="21" applyNumberFormat="1" applyFont="1" applyFill="1" applyBorder="1" applyAlignment="1">
      <alignment horizontal="center" vertical="center"/>
      <protection/>
    </xf>
    <xf numFmtId="2" fontId="17" fillId="6" borderId="26" xfId="21" applyNumberFormat="1" applyFont="1" applyFill="1" applyBorder="1" applyAlignment="1">
      <alignment horizontal="center" vertical="center"/>
      <protection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center"/>
    </xf>
    <xf numFmtId="0" fontId="4" fillId="7" borderId="16" xfId="21" applyFont="1" applyFill="1" applyBorder="1" applyAlignment="1">
      <alignment horizontal="left" vertical="center"/>
      <protection/>
    </xf>
    <xf numFmtId="0" fontId="16" fillId="7" borderId="16" xfId="21" applyFont="1" applyFill="1" applyBorder="1" applyAlignment="1">
      <alignment horizontal="center"/>
      <protection/>
    </xf>
    <xf numFmtId="0" fontId="17" fillId="7" borderId="16" xfId="21" applyFont="1" applyFill="1" applyBorder="1" applyAlignment="1">
      <alignment horizontal="center" vertical="center" wrapText="1"/>
      <protection/>
    </xf>
    <xf numFmtId="0" fontId="17" fillId="7" borderId="16" xfId="21" applyFont="1" applyFill="1" applyBorder="1" applyAlignment="1">
      <alignment horizontal="center"/>
      <protection/>
    </xf>
    <xf numFmtId="0" fontId="17" fillId="7" borderId="17" xfId="21" applyFont="1" applyFill="1" applyBorder="1" applyAlignment="1">
      <alignment horizontal="center"/>
      <protection/>
    </xf>
    <xf numFmtId="2" fontId="17" fillId="7" borderId="34" xfId="21" applyNumberFormat="1" applyFont="1" applyFill="1" applyBorder="1" applyAlignment="1">
      <alignment horizontal="center" vertical="center" wrapText="1"/>
      <protection/>
    </xf>
    <xf numFmtId="2" fontId="17" fillId="7" borderId="16" xfId="21" applyNumberFormat="1" applyFont="1" applyFill="1" applyBorder="1" applyAlignment="1">
      <alignment horizontal="center" vertical="center"/>
      <protection/>
    </xf>
    <xf numFmtId="164" fontId="16" fillId="7" borderId="22" xfId="0" applyNumberFormat="1" applyFont="1" applyFill="1" applyBorder="1" applyAlignment="1">
      <alignment horizontal="center" vertical="center"/>
    </xf>
    <xf numFmtId="0" fontId="4" fillId="7" borderId="1" xfId="21" applyFont="1" applyFill="1" applyBorder="1" applyAlignment="1">
      <alignment horizontal="left" vertical="center"/>
      <protection/>
    </xf>
    <xf numFmtId="0" fontId="16" fillId="7" borderId="1" xfId="21" applyFont="1" applyFill="1" applyBorder="1" applyAlignment="1">
      <alignment horizontal="center"/>
      <protection/>
    </xf>
    <xf numFmtId="0" fontId="17" fillId="7" borderId="1" xfId="21" applyFont="1" applyFill="1" applyBorder="1" applyAlignment="1">
      <alignment horizontal="center" vertical="center" wrapText="1"/>
      <protection/>
    </xf>
    <xf numFmtId="0" fontId="17" fillId="7" borderId="1" xfId="21" applyFont="1" applyFill="1" applyBorder="1" applyAlignment="1">
      <alignment horizontal="center"/>
      <protection/>
    </xf>
    <xf numFmtId="0" fontId="17" fillId="7" borderId="2" xfId="21" applyFont="1" applyFill="1" applyBorder="1" applyAlignment="1">
      <alignment horizontal="center"/>
      <protection/>
    </xf>
    <xf numFmtId="2" fontId="17" fillId="7" borderId="35" xfId="21" applyNumberFormat="1" applyFont="1" applyFill="1" applyBorder="1" applyAlignment="1">
      <alignment horizontal="center" vertical="center" wrapText="1"/>
      <protection/>
    </xf>
    <xf numFmtId="2" fontId="17" fillId="7" borderId="1" xfId="21" applyNumberFormat="1" applyFont="1" applyFill="1" applyBorder="1" applyAlignment="1">
      <alignment horizontal="center" vertical="center"/>
      <protection/>
    </xf>
    <xf numFmtId="164" fontId="16" fillId="7" borderId="24" xfId="0" applyNumberFormat="1" applyFont="1" applyFill="1" applyBorder="1" applyAlignment="1">
      <alignment horizontal="center" vertical="center"/>
    </xf>
    <xf numFmtId="0" fontId="4" fillId="7" borderId="25" xfId="21" applyFont="1" applyFill="1" applyBorder="1" applyAlignment="1">
      <alignment horizontal="left" vertical="center"/>
      <protection/>
    </xf>
    <xf numFmtId="0" fontId="16" fillId="7" borderId="25" xfId="21" applyFont="1" applyFill="1" applyBorder="1" applyAlignment="1">
      <alignment horizontal="center"/>
      <protection/>
    </xf>
    <xf numFmtId="0" fontId="17" fillId="7" borderId="25" xfId="21" applyFont="1" applyFill="1" applyBorder="1" applyAlignment="1">
      <alignment horizontal="center" vertical="center" wrapText="1"/>
      <protection/>
    </xf>
    <xf numFmtId="0" fontId="17" fillId="7" borderId="25" xfId="21" applyFont="1" applyFill="1" applyBorder="1" applyAlignment="1">
      <alignment horizontal="center"/>
      <protection/>
    </xf>
    <xf numFmtId="0" fontId="17" fillId="7" borderId="26" xfId="21" applyFont="1" applyFill="1" applyBorder="1" applyAlignment="1">
      <alignment horizontal="center"/>
      <protection/>
    </xf>
    <xf numFmtId="2" fontId="17" fillId="7" borderId="36" xfId="21" applyNumberFormat="1" applyFont="1" applyFill="1" applyBorder="1" applyAlignment="1">
      <alignment horizontal="center" vertical="center" wrapText="1"/>
      <protection/>
    </xf>
    <xf numFmtId="2" fontId="17" fillId="7" borderId="25" xfId="21" applyNumberFormat="1" applyFont="1" applyFill="1" applyBorder="1" applyAlignment="1">
      <alignment horizontal="center" vertical="center"/>
      <protection/>
    </xf>
    <xf numFmtId="164" fontId="16" fillId="7" borderId="2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16" fillId="6" borderId="16" xfId="0" applyNumberFormat="1" applyFont="1" applyFill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center" vertical="center"/>
    </xf>
    <xf numFmtId="164" fontId="16" fillId="6" borderId="25" xfId="0" applyNumberFormat="1" applyFont="1" applyFill="1" applyBorder="1" applyAlignment="1">
      <alignment horizontal="center" vertical="center"/>
    </xf>
    <xf numFmtId="2" fontId="16" fillId="5" borderId="22" xfId="21" applyNumberFormat="1" applyFont="1" applyFill="1" applyBorder="1" applyAlignment="1">
      <alignment horizontal="center" vertical="center"/>
      <protection/>
    </xf>
    <xf numFmtId="2" fontId="16" fillId="5" borderId="24" xfId="21" applyNumberFormat="1" applyFont="1" applyFill="1" applyBorder="1" applyAlignment="1">
      <alignment horizontal="center" vertical="center"/>
      <protection/>
    </xf>
    <xf numFmtId="2" fontId="16" fillId="5" borderId="28" xfId="21" applyNumberFormat="1" applyFont="1" applyFill="1" applyBorder="1" applyAlignment="1">
      <alignment horizontal="center" vertical="center"/>
      <protection/>
    </xf>
    <xf numFmtId="164" fontId="16" fillId="6" borderId="19" xfId="0" applyNumberFormat="1" applyFont="1" applyFill="1" applyBorder="1" applyAlignment="1">
      <alignment horizontal="center" vertical="center"/>
    </xf>
    <xf numFmtId="2" fontId="16" fillId="6" borderId="20" xfId="21" applyNumberFormat="1" applyFont="1" applyFill="1" applyBorder="1" applyAlignment="1">
      <alignment horizontal="center" vertical="center"/>
      <protection/>
    </xf>
    <xf numFmtId="2" fontId="16" fillId="6" borderId="24" xfId="21" applyNumberFormat="1" applyFont="1" applyFill="1" applyBorder="1" applyAlignment="1">
      <alignment horizontal="center" vertical="center"/>
      <protection/>
    </xf>
    <xf numFmtId="164" fontId="16" fillId="6" borderId="3" xfId="0" applyNumberFormat="1" applyFont="1" applyFill="1" applyBorder="1" applyAlignment="1">
      <alignment horizontal="center" vertical="center"/>
    </xf>
    <xf numFmtId="2" fontId="16" fillId="6" borderId="7" xfId="21" applyNumberFormat="1" applyFont="1" applyFill="1" applyBorder="1" applyAlignment="1">
      <alignment horizontal="center" vertical="center"/>
      <protection/>
    </xf>
    <xf numFmtId="2" fontId="16" fillId="2" borderId="1" xfId="21" applyNumberFormat="1" applyFont="1" applyFill="1" applyBorder="1" applyAlignment="1">
      <alignment horizontal="center" vertical="center"/>
      <protection/>
    </xf>
    <xf numFmtId="0" fontId="4" fillId="6" borderId="9" xfId="21" applyFont="1" applyFill="1" applyBorder="1" applyAlignment="1">
      <alignment horizontal="left" vertical="center"/>
      <protection/>
    </xf>
    <xf numFmtId="2" fontId="16" fillId="6" borderId="22" xfId="21" applyNumberFormat="1" applyFont="1" applyFill="1" applyBorder="1" applyAlignment="1">
      <alignment horizontal="center" vertical="center"/>
      <protection/>
    </xf>
    <xf numFmtId="0" fontId="4" fillId="6" borderId="30" xfId="21" applyFont="1" applyFill="1" applyBorder="1" applyAlignment="1">
      <alignment horizontal="left" vertical="center"/>
      <protection/>
    </xf>
    <xf numFmtId="0" fontId="4" fillId="6" borderId="37" xfId="21" applyFont="1" applyFill="1" applyBorder="1" applyAlignment="1">
      <alignment horizontal="left" vertical="center"/>
      <protection/>
    </xf>
    <xf numFmtId="2" fontId="16" fillId="6" borderId="28" xfId="21" applyNumberFormat="1" applyFont="1" applyFill="1" applyBorder="1" applyAlignment="1">
      <alignment horizontal="center" vertical="center"/>
      <protection/>
    </xf>
    <xf numFmtId="0" fontId="4" fillId="8" borderId="9" xfId="21" applyFont="1" applyFill="1" applyBorder="1" applyAlignment="1">
      <alignment horizontal="left" vertical="center"/>
      <protection/>
    </xf>
    <xf numFmtId="0" fontId="16" fillId="8" borderId="16" xfId="21" applyFont="1" applyFill="1" applyBorder="1" applyAlignment="1">
      <alignment horizontal="center"/>
      <protection/>
    </xf>
    <xf numFmtId="0" fontId="17" fillId="8" borderId="16" xfId="21" applyFont="1" applyFill="1" applyBorder="1" applyAlignment="1">
      <alignment horizontal="center" vertical="center" wrapText="1"/>
      <protection/>
    </xf>
    <xf numFmtId="0" fontId="17" fillId="8" borderId="16" xfId="21" applyFont="1" applyFill="1" applyBorder="1" applyAlignment="1">
      <alignment horizontal="center"/>
      <protection/>
    </xf>
    <xf numFmtId="0" fontId="17" fillId="8" borderId="17" xfId="21" applyFont="1" applyFill="1" applyBorder="1" applyAlignment="1">
      <alignment horizontal="center"/>
      <protection/>
    </xf>
    <xf numFmtId="2" fontId="17" fillId="8" borderId="34" xfId="21" applyNumberFormat="1" applyFont="1" applyFill="1" applyBorder="1" applyAlignment="1">
      <alignment horizontal="center" vertical="center" wrapText="1"/>
      <protection/>
    </xf>
    <xf numFmtId="2" fontId="17" fillId="8" borderId="16" xfId="21" applyNumberFormat="1" applyFont="1" applyFill="1" applyBorder="1" applyAlignment="1">
      <alignment horizontal="center" vertical="center"/>
      <protection/>
    </xf>
    <xf numFmtId="164" fontId="16" fillId="8" borderId="22" xfId="0" applyNumberFormat="1" applyFont="1" applyFill="1" applyBorder="1" applyAlignment="1">
      <alignment horizontal="center" vertical="center"/>
    </xf>
    <xf numFmtId="0" fontId="4" fillId="8" borderId="30" xfId="21" applyFont="1" applyFill="1" applyBorder="1" applyAlignment="1">
      <alignment horizontal="left" vertical="center"/>
      <protection/>
    </xf>
    <xf numFmtId="0" fontId="16" fillId="8" borderId="1" xfId="21" applyFont="1" applyFill="1" applyBorder="1" applyAlignment="1">
      <alignment horizontal="center"/>
      <protection/>
    </xf>
    <xf numFmtId="0" fontId="17" fillId="8" borderId="1" xfId="21" applyFont="1" applyFill="1" applyBorder="1" applyAlignment="1">
      <alignment horizontal="center" vertical="center" wrapText="1"/>
      <protection/>
    </xf>
    <xf numFmtId="0" fontId="17" fillId="8" borderId="1" xfId="21" applyFont="1" applyFill="1" applyBorder="1" applyAlignment="1">
      <alignment horizontal="center"/>
      <protection/>
    </xf>
    <xf numFmtId="0" fontId="17" fillId="8" borderId="2" xfId="21" applyFont="1" applyFill="1" applyBorder="1" applyAlignment="1">
      <alignment horizontal="center"/>
      <protection/>
    </xf>
    <xf numFmtId="2" fontId="17" fillId="8" borderId="35" xfId="21" applyNumberFormat="1" applyFont="1" applyFill="1" applyBorder="1" applyAlignment="1">
      <alignment horizontal="center" vertical="center" wrapText="1"/>
      <protection/>
    </xf>
    <xf numFmtId="2" fontId="17" fillId="8" borderId="1" xfId="21" applyNumberFormat="1" applyFont="1" applyFill="1" applyBorder="1" applyAlignment="1">
      <alignment horizontal="center" vertical="center"/>
      <protection/>
    </xf>
    <xf numFmtId="164" fontId="16" fillId="8" borderId="24" xfId="0" applyNumberFormat="1" applyFont="1" applyFill="1" applyBorder="1" applyAlignment="1">
      <alignment horizontal="center" vertical="center"/>
    </xf>
    <xf numFmtId="0" fontId="4" fillId="8" borderId="37" xfId="21" applyFont="1" applyFill="1" applyBorder="1" applyAlignment="1">
      <alignment horizontal="left" vertical="center"/>
      <protection/>
    </xf>
    <xf numFmtId="0" fontId="16" fillId="8" borderId="25" xfId="21" applyFont="1" applyFill="1" applyBorder="1" applyAlignment="1">
      <alignment horizontal="center"/>
      <protection/>
    </xf>
    <xf numFmtId="0" fontId="17" fillId="8" borderId="25" xfId="21" applyFont="1" applyFill="1" applyBorder="1" applyAlignment="1">
      <alignment horizontal="center" vertical="center" wrapText="1"/>
      <protection/>
    </xf>
    <xf numFmtId="0" fontId="17" fillId="8" borderId="25" xfId="21" applyFont="1" applyFill="1" applyBorder="1" applyAlignment="1">
      <alignment horizontal="center"/>
      <protection/>
    </xf>
    <xf numFmtId="0" fontId="17" fillId="8" borderId="26" xfId="21" applyFont="1" applyFill="1" applyBorder="1" applyAlignment="1">
      <alignment horizontal="center"/>
      <protection/>
    </xf>
    <xf numFmtId="2" fontId="17" fillId="8" borderId="36" xfId="21" applyNumberFormat="1" applyFont="1" applyFill="1" applyBorder="1" applyAlignment="1">
      <alignment horizontal="center" vertical="center" wrapText="1"/>
      <protection/>
    </xf>
    <xf numFmtId="2" fontId="17" fillId="8" borderId="25" xfId="21" applyNumberFormat="1" applyFont="1" applyFill="1" applyBorder="1" applyAlignment="1">
      <alignment horizontal="center" vertical="center"/>
      <protection/>
    </xf>
    <xf numFmtId="164" fontId="16" fillId="8" borderId="28" xfId="0" applyNumberFormat="1" applyFont="1" applyFill="1" applyBorder="1" applyAlignment="1">
      <alignment horizontal="center" vertical="center"/>
    </xf>
    <xf numFmtId="2" fontId="17" fillId="8" borderId="18" xfId="21" applyNumberFormat="1" applyFont="1" applyFill="1" applyBorder="1" applyAlignment="1">
      <alignment horizontal="center" vertical="center" wrapText="1"/>
      <protection/>
    </xf>
    <xf numFmtId="2" fontId="17" fillId="8" borderId="19" xfId="21" applyNumberFormat="1" applyFont="1" applyFill="1" applyBorder="1" applyAlignment="1">
      <alignment horizontal="center" vertical="center"/>
      <protection/>
    </xf>
    <xf numFmtId="164" fontId="16" fillId="8" borderId="20" xfId="0" applyNumberFormat="1" applyFont="1" applyFill="1" applyBorder="1" applyAlignment="1">
      <alignment horizontal="center" vertical="center"/>
    </xf>
    <xf numFmtId="2" fontId="17" fillId="8" borderId="6" xfId="21" applyNumberFormat="1" applyFont="1" applyFill="1" applyBorder="1" applyAlignment="1">
      <alignment horizontal="center" vertical="center" wrapText="1"/>
      <protection/>
    </xf>
    <xf numFmtId="2" fontId="17" fillId="8" borderId="3" xfId="21" applyNumberFormat="1" applyFont="1" applyFill="1" applyBorder="1" applyAlignment="1">
      <alignment horizontal="center" vertical="center"/>
      <protection/>
    </xf>
    <xf numFmtId="164" fontId="16" fillId="8" borderId="7" xfId="0" applyNumberFormat="1" applyFont="1" applyFill="1" applyBorder="1" applyAlignment="1">
      <alignment horizontal="center" vertical="center"/>
    </xf>
    <xf numFmtId="0" fontId="16" fillId="6" borderId="16" xfId="21" applyFont="1" applyFill="1" applyBorder="1" applyAlignment="1">
      <alignment vertical="center"/>
      <protection/>
    </xf>
    <xf numFmtId="0" fontId="4" fillId="8" borderId="16" xfId="21" applyFont="1" applyFill="1" applyBorder="1" applyAlignment="1">
      <alignment horizontal="left" vertical="center"/>
      <protection/>
    </xf>
    <xf numFmtId="0" fontId="4" fillId="8" borderId="1" xfId="21" applyFont="1" applyFill="1" applyBorder="1" applyAlignment="1">
      <alignment horizontal="left" vertical="center"/>
      <protection/>
    </xf>
    <xf numFmtId="0" fontId="4" fillId="8" borderId="25" xfId="21" applyFont="1" applyFill="1" applyBorder="1" applyAlignment="1">
      <alignment horizontal="left" vertical="center"/>
      <protection/>
    </xf>
    <xf numFmtId="2" fontId="16" fillId="8" borderId="22" xfId="21" applyNumberFormat="1" applyFont="1" applyFill="1" applyBorder="1" applyAlignment="1">
      <alignment horizontal="center" vertical="center"/>
      <protection/>
    </xf>
    <xf numFmtId="2" fontId="16" fillId="8" borderId="24" xfId="21" applyNumberFormat="1" applyFont="1" applyFill="1" applyBorder="1" applyAlignment="1">
      <alignment horizontal="center" vertical="center"/>
      <protection/>
    </xf>
    <xf numFmtId="2" fontId="16" fillId="8" borderId="28" xfId="21" applyNumberFormat="1" applyFont="1" applyFill="1" applyBorder="1" applyAlignment="1">
      <alignment horizontal="center" vertical="center"/>
      <protection/>
    </xf>
    <xf numFmtId="2" fontId="17" fillId="2" borderId="0" xfId="21" applyNumberFormat="1" applyFont="1" applyFill="1" applyBorder="1" applyAlignment="1">
      <alignment horizontal="center" vertical="center" wrapText="1"/>
      <protection/>
    </xf>
    <xf numFmtId="2" fontId="17" fillId="2" borderId="0" xfId="21" applyNumberFormat="1" applyFont="1" applyFill="1" applyBorder="1" applyAlignment="1">
      <alignment horizontal="center" vertical="center"/>
      <protection/>
    </xf>
    <xf numFmtId="0" fontId="17" fillId="6" borderId="30" xfId="21" applyFont="1" applyFill="1" applyBorder="1" applyAlignment="1">
      <alignment horizontal="center" vertical="center" wrapText="1"/>
      <protection/>
    </xf>
    <xf numFmtId="0" fontId="17" fillId="6" borderId="30" xfId="21" applyFont="1" applyFill="1" applyBorder="1" applyAlignment="1">
      <alignment horizontal="center"/>
      <protection/>
    </xf>
    <xf numFmtId="0" fontId="16" fillId="6" borderId="30" xfId="21" applyFont="1" applyFill="1" applyBorder="1" applyAlignment="1">
      <alignment horizontal="center"/>
      <protection/>
    </xf>
    <xf numFmtId="0" fontId="17" fillId="6" borderId="31" xfId="21" applyFont="1" applyFill="1" applyBorder="1" applyAlignment="1">
      <alignment horizontal="center"/>
      <protection/>
    </xf>
    <xf numFmtId="164" fontId="18" fillId="6" borderId="34" xfId="0" applyNumberFormat="1" applyFont="1" applyFill="1" applyBorder="1" applyAlignment="1">
      <alignment horizontal="center"/>
    </xf>
    <xf numFmtId="164" fontId="18" fillId="6" borderId="35" xfId="0" applyNumberFormat="1" applyFont="1" applyFill="1" applyBorder="1" applyAlignment="1">
      <alignment horizontal="center"/>
    </xf>
    <xf numFmtId="164" fontId="18" fillId="6" borderId="36" xfId="0" applyNumberFormat="1" applyFont="1" applyFill="1" applyBorder="1" applyAlignment="1">
      <alignment horizontal="center"/>
    </xf>
    <xf numFmtId="164" fontId="4" fillId="0" borderId="1" xfId="20" applyNumberFormat="1" applyFont="1" applyFill="1" applyBorder="1" applyAlignment="1">
      <alignment horizontal="center"/>
      <protection/>
    </xf>
    <xf numFmtId="164" fontId="8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4" fontId="4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4" fillId="2" borderId="0" xfId="21" applyFont="1" applyFill="1" applyBorder="1" applyAlignment="1">
      <alignment horizontal="left" vertical="center"/>
      <protection/>
    </xf>
    <xf numFmtId="164" fontId="16" fillId="2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2" fontId="3" fillId="2" borderId="1" xfId="20" applyNumberFormat="1" applyFont="1" applyFill="1" applyBorder="1" applyAlignment="1">
      <alignment horizontal="center"/>
      <protection/>
    </xf>
    <xf numFmtId="0" fontId="5" fillId="2" borderId="1" xfId="20" applyFont="1" applyFill="1" applyBorder="1" applyAlignment="1">
      <alignment horizontal="center"/>
      <protection/>
    </xf>
    <xf numFmtId="16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64" fontId="4" fillId="2" borderId="1" xfId="20" applyNumberFormat="1" applyFont="1" applyFill="1" applyBorder="1" applyAlignment="1">
      <alignment horizontal="center"/>
      <protection/>
    </xf>
    <xf numFmtId="2" fontId="4" fillId="2" borderId="1" xfId="20" applyNumberFormat="1" applyFont="1" applyFill="1" applyBorder="1" applyAlignment="1">
      <alignment horizontal="center"/>
      <protection/>
    </xf>
    <xf numFmtId="164" fontId="18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3" fillId="2" borderId="1" xfId="20" applyNumberFormat="1" applyFont="1" applyFill="1" applyBorder="1" applyAlignment="1">
      <alignment horizontal="center"/>
      <protection/>
    </xf>
    <xf numFmtId="1" fontId="2" fillId="2" borderId="1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/>
    </xf>
    <xf numFmtId="1" fontId="16" fillId="2" borderId="1" xfId="21" applyNumberFormat="1" applyFont="1" applyFill="1" applyBorder="1" applyAlignment="1">
      <alignment horizontal="center" vertical="center"/>
      <protection/>
    </xf>
    <xf numFmtId="1" fontId="8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0" fillId="0" borderId="0" xfId="0" applyFill="1" applyBorder="1"/>
    <xf numFmtId="1" fontId="0" fillId="2" borderId="1" xfId="0" applyNumberForma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 vertical="center"/>
    </xf>
    <xf numFmtId="164" fontId="16" fillId="2" borderId="19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5" fillId="2" borderId="1" xfId="20" applyNumberFormat="1" applyFont="1" applyFill="1" applyBorder="1" applyAlignment="1">
      <alignment horizontal="center"/>
      <protection/>
    </xf>
    <xf numFmtId="1" fontId="5" fillId="0" borderId="1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" fontId="3" fillId="0" borderId="1" xfId="20" applyNumberFormat="1" applyFont="1" applyFill="1" applyBorder="1" applyAlignment="1">
      <alignment horizontal="center"/>
      <protection/>
    </xf>
    <xf numFmtId="1" fontId="2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5" fillId="0" borderId="1" xfId="20" applyNumberFormat="1" applyFont="1" applyFill="1" applyBorder="1" applyAlignment="1">
      <alignment horizontal="center"/>
      <protection/>
    </xf>
    <xf numFmtId="0" fontId="3" fillId="2" borderId="19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2" fontId="5" fillId="2" borderId="19" xfId="20" applyNumberFormat="1" applyFont="1" applyFill="1" applyBorder="1" applyAlignment="1">
      <alignment horizontal="center"/>
      <protection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/>
    <xf numFmtId="0" fontId="0" fillId="0" borderId="39" xfId="0" applyFill="1" applyBorder="1"/>
    <xf numFmtId="164" fontId="18" fillId="2" borderId="19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16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/>
    </xf>
    <xf numFmtId="0" fontId="22" fillId="0" borderId="0" xfId="0" applyFont="1"/>
    <xf numFmtId="0" fontId="22" fillId="2" borderId="0" xfId="0" applyFont="1" applyFill="1"/>
    <xf numFmtId="0" fontId="23" fillId="0" borderId="0" xfId="0" applyFont="1" applyAlignment="1">
      <alignment horizontal="center"/>
    </xf>
    <xf numFmtId="0" fontId="23" fillId="0" borderId="0" xfId="0" applyFont="1"/>
    <xf numFmtId="0" fontId="23" fillId="2" borderId="0" xfId="0" applyFont="1" applyFill="1"/>
    <xf numFmtId="0" fontId="16" fillId="2" borderId="23" xfId="21" applyFont="1" applyFill="1" applyBorder="1" applyAlignment="1">
      <alignment horizontal="center" vertical="center" wrapText="1"/>
      <protection/>
    </xf>
    <xf numFmtId="0" fontId="16" fillId="2" borderId="1" xfId="21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center" vertical="center"/>
      <protection/>
    </xf>
    <xf numFmtId="49" fontId="16" fillId="0" borderId="34" xfId="21" applyNumberFormat="1" applyFont="1" applyFill="1" applyBorder="1" applyAlignment="1">
      <alignment horizontal="center" vertical="center"/>
      <protection/>
    </xf>
    <xf numFmtId="49" fontId="16" fillId="0" borderId="35" xfId="21" applyNumberFormat="1" applyFont="1" applyFill="1" applyBorder="1" applyAlignment="1">
      <alignment horizontal="center" vertical="center"/>
      <protection/>
    </xf>
    <xf numFmtId="49" fontId="16" fillId="0" borderId="36" xfId="21" applyNumberFormat="1" applyFont="1" applyFill="1" applyBorder="1" applyAlignment="1">
      <alignment horizontal="center" vertical="center"/>
      <protection/>
    </xf>
    <xf numFmtId="0" fontId="14" fillId="0" borderId="16" xfId="21" applyFont="1" applyFill="1" applyBorder="1" applyAlignment="1">
      <alignment horizontal="left" vertical="center" wrapText="1"/>
      <protection/>
    </xf>
    <xf numFmtId="0" fontId="14" fillId="0" borderId="1" xfId="21" applyFont="1" applyFill="1" applyBorder="1" applyAlignment="1">
      <alignment horizontal="left" vertical="center" wrapText="1"/>
      <protection/>
    </xf>
    <xf numFmtId="0" fontId="14" fillId="0" borderId="25" xfId="21" applyFont="1" applyFill="1" applyBorder="1" applyAlignment="1">
      <alignment horizontal="left" vertical="center" wrapText="1"/>
      <protection/>
    </xf>
    <xf numFmtId="0" fontId="14" fillId="0" borderId="0" xfId="21" applyFont="1" applyFill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49" fontId="16" fillId="0" borderId="6" xfId="21" applyNumberFormat="1" applyFont="1" applyFill="1" applyBorder="1" applyAlignment="1">
      <alignment horizontal="center" vertical="center"/>
      <protection/>
    </xf>
    <xf numFmtId="0" fontId="16" fillId="0" borderId="16" xfId="21" applyFont="1" applyFill="1" applyBorder="1" applyAlignment="1">
      <alignment horizontal="center" vertical="center"/>
      <protection/>
    </xf>
    <xf numFmtId="0" fontId="16" fillId="0" borderId="3" xfId="21" applyFont="1" applyFill="1" applyBorder="1" applyAlignment="1">
      <alignment horizontal="center" vertical="center"/>
      <protection/>
    </xf>
    <xf numFmtId="0" fontId="17" fillId="0" borderId="16" xfId="21" applyFont="1" applyFill="1" applyBorder="1" applyAlignment="1">
      <alignment horizontal="center" vertical="center" wrapText="1"/>
      <protection/>
    </xf>
    <xf numFmtId="0" fontId="17" fillId="0" borderId="1" xfId="21" applyFont="1" applyFill="1" applyBorder="1" applyAlignment="1">
      <alignment horizontal="center" vertical="center" wrapText="1"/>
      <protection/>
    </xf>
    <xf numFmtId="0" fontId="17" fillId="0" borderId="3" xfId="21" applyFont="1" applyFill="1" applyBorder="1" applyAlignment="1">
      <alignment horizontal="center" vertical="center" wrapText="1"/>
      <protection/>
    </xf>
    <xf numFmtId="0" fontId="16" fillId="0" borderId="16" xfId="21" applyFont="1" applyFill="1" applyBorder="1" applyAlignment="1">
      <alignment horizontal="center" vertical="center" wrapText="1"/>
      <protection/>
    </xf>
    <xf numFmtId="0" fontId="16" fillId="0" borderId="9" xfId="21" applyFont="1" applyFill="1" applyBorder="1" applyAlignment="1">
      <alignment horizontal="center" vertical="center" wrapText="1"/>
      <protection/>
    </xf>
    <xf numFmtId="0" fontId="16" fillId="0" borderId="22" xfId="21" applyFont="1" applyFill="1" applyBorder="1" applyAlignment="1">
      <alignment horizontal="center" vertical="center" wrapText="1"/>
      <protection/>
    </xf>
    <xf numFmtId="0" fontId="16" fillId="0" borderId="24" xfId="21" applyFont="1" applyFill="1" applyBorder="1" applyAlignment="1">
      <alignment horizontal="center" vertical="center" wrapText="1"/>
      <protection/>
    </xf>
    <xf numFmtId="49" fontId="16" fillId="4" borderId="34" xfId="21" applyNumberFormat="1" applyFont="1" applyFill="1" applyBorder="1" applyAlignment="1">
      <alignment horizontal="center" vertical="center"/>
      <protection/>
    </xf>
    <xf numFmtId="49" fontId="16" fillId="4" borderId="35" xfId="21" applyNumberFormat="1" applyFont="1" applyFill="1" applyBorder="1" applyAlignment="1">
      <alignment horizontal="center" vertical="center"/>
      <protection/>
    </xf>
    <xf numFmtId="49" fontId="16" fillId="4" borderId="36" xfId="21" applyNumberFormat="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 wrapText="1"/>
      <protection/>
    </xf>
    <xf numFmtId="0" fontId="16" fillId="0" borderId="34" xfId="21" applyFont="1" applyFill="1" applyBorder="1" applyAlignment="1">
      <alignment horizontal="center" vertical="center" wrapText="1"/>
      <protection/>
    </xf>
    <xf numFmtId="49" fontId="16" fillId="0" borderId="8" xfId="21" applyNumberFormat="1" applyFont="1" applyFill="1" applyBorder="1" applyAlignment="1">
      <alignment horizontal="center" vertical="center"/>
      <protection/>
    </xf>
    <xf numFmtId="49" fontId="16" fillId="0" borderId="29" xfId="21" applyNumberFormat="1" applyFont="1" applyFill="1" applyBorder="1" applyAlignment="1">
      <alignment horizontal="center" vertical="center"/>
      <protection/>
    </xf>
    <xf numFmtId="49" fontId="16" fillId="0" borderId="40" xfId="2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0" borderId="3" xfId="0" applyFont="1" applyFill="1" applyBorder="1"/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3" fillId="0" borderId="1" xfId="0" applyFont="1" applyFill="1" applyBorder="1"/>
    <xf numFmtId="2" fontId="0" fillId="0" borderId="0" xfId="0" applyNumberFormat="1" applyFill="1"/>
    <xf numFmtId="0" fontId="3" fillId="0" borderId="3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165" fontId="0" fillId="0" borderId="0" xfId="0" applyNumberFormat="1" applyFill="1"/>
    <xf numFmtId="0" fontId="0" fillId="2" borderId="1" xfId="0" applyFont="1" applyFill="1" applyBorder="1"/>
    <xf numFmtId="0" fontId="5" fillId="0" borderId="30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5" fillId="2" borderId="19" xfId="21" applyFont="1" applyFill="1" applyBorder="1" applyAlignment="1">
      <alignment horizontal="left" vertical="center"/>
      <protection/>
    </xf>
    <xf numFmtId="0" fontId="0" fillId="0" borderId="1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X328"/>
  <sheetViews>
    <sheetView workbookViewId="0" topLeftCell="A259">
      <selection activeCell="J218" sqref="J218"/>
    </sheetView>
  </sheetViews>
  <sheetFormatPr defaultColWidth="8.8515625" defaultRowHeight="15"/>
  <cols>
    <col min="1" max="1" width="5.00390625" style="25" customWidth="1"/>
    <col min="2" max="2" width="37.421875" style="25" customWidth="1"/>
    <col min="3" max="3" width="7.57421875" style="25" customWidth="1"/>
    <col min="4" max="4" width="4.421875" style="29" customWidth="1"/>
    <col min="5" max="5" width="4.00390625" style="29" customWidth="1"/>
    <col min="6" max="6" width="3.421875" style="25" customWidth="1"/>
    <col min="7" max="7" width="3.28125" style="25" customWidth="1"/>
    <col min="8" max="8" width="7.140625" style="25" customWidth="1"/>
    <col min="9" max="9" width="7.421875" style="25" customWidth="1"/>
    <col min="10" max="10" width="8.421875" style="25" customWidth="1"/>
    <col min="11" max="11" width="3.7109375" style="115" customWidth="1"/>
    <col min="12" max="12" width="3.8515625" style="114" customWidth="1"/>
    <col min="13" max="13" width="4.00390625" style="114" customWidth="1"/>
    <col min="14" max="14" width="4.28125" style="25" customWidth="1"/>
    <col min="15" max="15" width="3.28125" style="25" customWidth="1"/>
    <col min="16" max="16" width="3.28125" style="29" customWidth="1"/>
    <col min="17" max="17" width="3.7109375" style="25" customWidth="1"/>
    <col min="18" max="18" width="3.57421875" style="29" customWidth="1"/>
    <col min="19" max="19" width="2.8515625" style="29" customWidth="1"/>
    <col min="20" max="20" width="3.421875" style="25" customWidth="1"/>
    <col min="21" max="22" width="3.28125" style="29" customWidth="1"/>
    <col min="23" max="23" width="2.8515625" style="29" customWidth="1"/>
    <col min="24" max="24" width="5.00390625" style="29" customWidth="1"/>
    <col min="25" max="16384" width="8.8515625" style="25" customWidth="1"/>
  </cols>
  <sheetData>
    <row r="1" spans="2:23" ht="15">
      <c r="B1" s="26" t="s">
        <v>25</v>
      </c>
      <c r="C1"/>
      <c r="D1"/>
      <c r="E1"/>
      <c r="F1"/>
      <c r="G1"/>
      <c r="H1"/>
      <c r="K1" s="25"/>
      <c r="L1" s="25"/>
      <c r="M1" s="25"/>
      <c r="N1" s="27" t="s">
        <v>26</v>
      </c>
      <c r="P1" s="27"/>
      <c r="R1" s="28"/>
      <c r="S1" s="28"/>
      <c r="T1"/>
      <c r="U1"/>
      <c r="V1" s="25"/>
      <c r="W1" s="25"/>
    </row>
    <row r="2" spans="2:23" ht="15">
      <c r="B2" s="26" t="s">
        <v>27</v>
      </c>
      <c r="C2"/>
      <c r="D2"/>
      <c r="E2"/>
      <c r="F2"/>
      <c r="G2"/>
      <c r="H2"/>
      <c r="K2" s="25"/>
      <c r="L2" s="25"/>
      <c r="M2" s="25"/>
      <c r="N2" s="27" t="s">
        <v>2</v>
      </c>
      <c r="P2" s="27"/>
      <c r="Q2" s="28"/>
      <c r="R2" s="28"/>
      <c r="S2" s="28"/>
      <c r="T2"/>
      <c r="U2"/>
      <c r="V2" s="25"/>
      <c r="W2" s="25"/>
    </row>
    <row r="3" spans="2:23" ht="15">
      <c r="B3" s="26" t="s">
        <v>28</v>
      </c>
      <c r="C3"/>
      <c r="D3"/>
      <c r="E3"/>
      <c r="F3"/>
      <c r="G3"/>
      <c r="H3"/>
      <c r="K3" s="25"/>
      <c r="L3" s="25"/>
      <c r="M3" s="25"/>
      <c r="N3" s="27" t="s">
        <v>29</v>
      </c>
      <c r="O3" s="27"/>
      <c r="P3" s="28"/>
      <c r="Q3" s="28"/>
      <c r="R3" s="28"/>
      <c r="S3"/>
      <c r="T3"/>
      <c r="U3"/>
      <c r="V3" s="25"/>
      <c r="W3" s="25"/>
    </row>
    <row r="4" spans="2:23" ht="15">
      <c r="B4" s="26"/>
      <c r="C4"/>
      <c r="D4"/>
      <c r="E4"/>
      <c r="F4"/>
      <c r="G4"/>
      <c r="H4"/>
      <c r="K4" s="25"/>
      <c r="L4" s="25"/>
      <c r="M4" s="25"/>
      <c r="N4" s="27" t="s">
        <v>30</v>
      </c>
      <c r="O4" s="27"/>
      <c r="P4" s="28"/>
      <c r="Q4" s="28"/>
      <c r="R4" s="28"/>
      <c r="S4"/>
      <c r="T4"/>
      <c r="U4"/>
      <c r="V4" s="25"/>
      <c r="W4" s="25"/>
    </row>
    <row r="5" spans="2:16" ht="15"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24" ht="14.25">
      <c r="A6" s="403" t="s">
        <v>31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</row>
    <row r="7" spans="1:24" ht="13.5" thickBot="1">
      <c r="A7" s="30"/>
      <c r="B7" s="30"/>
      <c r="C7" s="31"/>
      <c r="D7" s="30"/>
      <c r="E7" s="30"/>
      <c r="F7" s="32"/>
      <c r="G7" s="32"/>
      <c r="H7" s="33"/>
      <c r="I7" s="33"/>
      <c r="J7" s="33"/>
      <c r="K7" s="34"/>
      <c r="L7" s="35"/>
      <c r="M7" s="36"/>
      <c r="N7" s="33"/>
      <c r="O7" s="33"/>
      <c r="P7" s="33"/>
      <c r="Q7" s="404"/>
      <c r="R7" s="404"/>
      <c r="S7" s="404"/>
      <c r="T7" s="404"/>
      <c r="U7" s="404"/>
      <c r="V7" s="404"/>
      <c r="W7" s="30"/>
      <c r="X7" s="30"/>
    </row>
    <row r="8" spans="1:24" ht="33" customHeight="1" thickBot="1">
      <c r="A8" s="397" t="s">
        <v>32</v>
      </c>
      <c r="B8" s="406" t="s">
        <v>33</v>
      </c>
      <c r="C8" s="406" t="s">
        <v>34</v>
      </c>
      <c r="D8" s="408" t="s">
        <v>35</v>
      </c>
      <c r="E8" s="411" t="s">
        <v>36</v>
      </c>
      <c r="F8" s="411"/>
      <c r="G8" s="411"/>
      <c r="H8" s="412"/>
      <c r="I8" s="412"/>
      <c r="J8" s="412"/>
      <c r="K8" s="411"/>
      <c r="L8" s="411"/>
      <c r="M8" s="411"/>
      <c r="N8" s="411"/>
      <c r="O8" s="411"/>
      <c r="P8" s="411"/>
      <c r="Q8" s="411"/>
      <c r="R8" s="411" t="s">
        <v>37</v>
      </c>
      <c r="S8" s="411"/>
      <c r="T8" s="411"/>
      <c r="U8" s="411" t="s">
        <v>38</v>
      </c>
      <c r="V8" s="411"/>
      <c r="W8" s="411" t="s">
        <v>39</v>
      </c>
      <c r="X8" s="413"/>
    </row>
    <row r="9" spans="1:24" ht="33" customHeight="1">
      <c r="A9" s="398"/>
      <c r="B9" s="396"/>
      <c r="C9" s="396"/>
      <c r="D9" s="409"/>
      <c r="E9" s="395" t="s">
        <v>40</v>
      </c>
      <c r="F9" s="395"/>
      <c r="G9" s="418"/>
      <c r="H9" s="419" t="s">
        <v>41</v>
      </c>
      <c r="I9" s="411"/>
      <c r="J9" s="413"/>
      <c r="K9" s="393" t="s">
        <v>42</v>
      </c>
      <c r="L9" s="394"/>
      <c r="M9" s="394"/>
      <c r="N9" s="395" t="s">
        <v>43</v>
      </c>
      <c r="O9" s="396"/>
      <c r="P9" s="395" t="s">
        <v>44</v>
      </c>
      <c r="Q9" s="395"/>
      <c r="R9" s="395"/>
      <c r="S9" s="395"/>
      <c r="T9" s="395"/>
      <c r="U9" s="395"/>
      <c r="V9" s="395"/>
      <c r="W9" s="395"/>
      <c r="X9" s="414"/>
    </row>
    <row r="10" spans="1:24" ht="40.5" customHeight="1" thickBot="1">
      <c r="A10" s="405"/>
      <c r="B10" s="407"/>
      <c r="C10" s="407"/>
      <c r="D10" s="410"/>
      <c r="E10" s="37" t="s">
        <v>45</v>
      </c>
      <c r="F10" s="38" t="s">
        <v>46</v>
      </c>
      <c r="G10" s="39" t="s">
        <v>47</v>
      </c>
      <c r="H10" s="40" t="s">
        <v>45</v>
      </c>
      <c r="I10" s="38" t="s">
        <v>46</v>
      </c>
      <c r="J10" s="41" t="s">
        <v>47</v>
      </c>
      <c r="K10" s="42" t="s">
        <v>45</v>
      </c>
      <c r="L10" s="43" t="s">
        <v>46</v>
      </c>
      <c r="M10" s="43" t="s">
        <v>47</v>
      </c>
      <c r="N10" s="37" t="s">
        <v>35</v>
      </c>
      <c r="O10" s="38" t="s">
        <v>47</v>
      </c>
      <c r="P10" s="37" t="s">
        <v>35</v>
      </c>
      <c r="Q10" s="44" t="s">
        <v>48</v>
      </c>
      <c r="R10" s="37" t="s">
        <v>35</v>
      </c>
      <c r="S10" s="38" t="s">
        <v>46</v>
      </c>
      <c r="T10" s="38" t="s">
        <v>47</v>
      </c>
      <c r="U10" s="37" t="s">
        <v>35</v>
      </c>
      <c r="V10" s="38" t="s">
        <v>49</v>
      </c>
      <c r="W10" s="37" t="s">
        <v>35</v>
      </c>
      <c r="X10" s="41" t="s">
        <v>49</v>
      </c>
    </row>
    <row r="11" spans="1:24" ht="20.25" customHeight="1" thickBot="1">
      <c r="A11" s="45" t="s">
        <v>50</v>
      </c>
      <c r="B11" s="46" t="s">
        <v>51</v>
      </c>
      <c r="C11" s="47"/>
      <c r="D11" s="48"/>
      <c r="E11" s="48"/>
      <c r="F11" s="48"/>
      <c r="G11" s="49"/>
      <c r="H11" s="50"/>
      <c r="I11" s="51"/>
      <c r="J11" s="52"/>
      <c r="K11" s="53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54"/>
    </row>
    <row r="12" spans="1:24" ht="15">
      <c r="A12" s="397" t="s">
        <v>52</v>
      </c>
      <c r="B12" s="400" t="s">
        <v>53</v>
      </c>
      <c r="C12" s="55" t="s">
        <v>54</v>
      </c>
      <c r="D12" s="56"/>
      <c r="E12" s="57"/>
      <c r="F12" s="55"/>
      <c r="G12" s="58"/>
      <c r="H12" s="59">
        <f>I12+J12</f>
        <v>91.97200000000001</v>
      </c>
      <c r="I12" s="60">
        <f>I21+I24+I30+I33+I36+I39+I42+I108+I135+I177+I213+I225+I228+I231+I243+I249+I261+I267+I273+I279+I282+I303+I306+I309+I315</f>
        <v>13.879999999999999</v>
      </c>
      <c r="J12" s="61">
        <f>J15+J18+J27+J45+J48+J51+J54+J57+J60+J63+J66+J69+J72+J75+J78+J81+J84+J87+J90+J93+J96+J99+J102+J105+J111+J114+J117+J120+J123+J126+J129+J132+J138+J141+J144+J147+J150+J153+J156+J159+J162+J165+J168+J171+J174+J180+J183+J186+J189+J192+J195+J198+J201+J204+J207+J210+J216+J219+J222+J234+J237+J240+J246+J252+J255+J258+J264+J270+J276+J285+J288+J291+J294+J297+J300+J312+J318</f>
        <v>78.09200000000001</v>
      </c>
      <c r="K12" s="62"/>
      <c r="L12" s="63"/>
      <c r="M12" s="64"/>
      <c r="N12" s="57"/>
      <c r="O12" s="55"/>
      <c r="P12" s="57"/>
      <c r="Q12" s="57"/>
      <c r="R12" s="57"/>
      <c r="S12" s="57"/>
      <c r="T12" s="57"/>
      <c r="U12" s="57"/>
      <c r="V12" s="57"/>
      <c r="W12" s="57"/>
      <c r="X12" s="65"/>
    </row>
    <row r="13" spans="1:24" ht="15">
      <c r="A13" s="398"/>
      <c r="B13" s="401"/>
      <c r="C13" s="66" t="s">
        <v>55</v>
      </c>
      <c r="D13" s="67"/>
      <c r="E13" s="68"/>
      <c r="F13" s="66"/>
      <c r="G13" s="69"/>
      <c r="H13" s="59">
        <f aca="true" t="shared" si="0" ref="H13:H14">I13+J13</f>
        <v>170</v>
      </c>
      <c r="I13" s="60">
        <f aca="true" t="shared" si="1" ref="I13:I14">I22+I25+I31+I34+I37+I40+I43+I109+I136+I178+I214+I226+I229+I232+I244+I250+I262+I268+I274+I280+I283+I304+I307+I310+I316</f>
        <v>48</v>
      </c>
      <c r="J13" s="61">
        <f aca="true" t="shared" si="2" ref="J13:J14">J16+J19+J28+J46+J49+J52+J55+J58+J61+J64+J67+J70+J73+J76+J79+J82+J85+J88+J91+J94+J97+J100+J103+J106+J112+J115+J118+J121+J124+J127+J130+J133+J139+J142+J145+J148+J151+J154+J157+J160+J163+J166+J169+J172+J175+J181+J184+J187+J190+J193+J196+J199+J202+J205+J208+J211+J217+J220+J223+J235+J238+J241+J247+J253+J256+J259+J265+J271+J277+J286+J289+J292+J295+J298+J301+J313+J319</f>
        <v>122</v>
      </c>
      <c r="K13" s="70"/>
      <c r="L13" s="71"/>
      <c r="M13" s="72"/>
      <c r="N13" s="68"/>
      <c r="O13" s="66"/>
      <c r="P13" s="68"/>
      <c r="Q13" s="68"/>
      <c r="R13" s="68"/>
      <c r="S13" s="68"/>
      <c r="T13" s="68"/>
      <c r="U13" s="68"/>
      <c r="V13" s="68"/>
      <c r="W13" s="68"/>
      <c r="X13" s="73"/>
    </row>
    <row r="14" spans="1:24" ht="13.5" thickBot="1">
      <c r="A14" s="399"/>
      <c r="B14" s="402"/>
      <c r="C14" s="74" t="s">
        <v>56</v>
      </c>
      <c r="D14" s="75"/>
      <c r="E14" s="76"/>
      <c r="F14" s="74"/>
      <c r="G14" s="77"/>
      <c r="H14" s="59">
        <f t="shared" si="0"/>
        <v>26333.785999999996</v>
      </c>
      <c r="I14" s="60">
        <f t="shared" si="1"/>
        <v>3956.2229999999995</v>
      </c>
      <c r="J14" s="61">
        <f t="shared" si="2"/>
        <v>22377.563</v>
      </c>
      <c r="K14" s="78"/>
      <c r="L14" s="79"/>
      <c r="M14" s="80"/>
      <c r="N14" s="76"/>
      <c r="O14" s="74"/>
      <c r="P14" s="76"/>
      <c r="Q14" s="76"/>
      <c r="R14" s="76"/>
      <c r="S14" s="76"/>
      <c r="T14" s="76"/>
      <c r="U14" s="76"/>
      <c r="V14" s="76"/>
      <c r="W14" s="76"/>
      <c r="X14" s="81"/>
    </row>
    <row r="15" spans="1:24" ht="15">
      <c r="A15" s="397" t="s">
        <v>57</v>
      </c>
      <c r="B15" s="309" t="s">
        <v>58</v>
      </c>
      <c r="C15" s="279" t="s">
        <v>54</v>
      </c>
      <c r="D15" s="280"/>
      <c r="E15" s="281"/>
      <c r="F15" s="279"/>
      <c r="G15" s="282"/>
      <c r="H15" s="283">
        <f>I15+J15</f>
        <v>0.738</v>
      </c>
      <c r="I15" s="284"/>
      <c r="J15" s="312">
        <v>0.738</v>
      </c>
      <c r="K15" s="62"/>
      <c r="L15" s="63"/>
      <c r="M15" s="64"/>
      <c r="N15" s="57"/>
      <c r="O15" s="55"/>
      <c r="P15" s="57"/>
      <c r="Q15" s="57"/>
      <c r="R15" s="57"/>
      <c r="S15" s="57"/>
      <c r="T15" s="57"/>
      <c r="U15" s="57"/>
      <c r="V15" s="57"/>
      <c r="W15" s="57"/>
      <c r="X15" s="65"/>
    </row>
    <row r="16" spans="1:24" ht="15">
      <c r="A16" s="398"/>
      <c r="B16" s="310"/>
      <c r="C16" s="287" t="s">
        <v>55</v>
      </c>
      <c r="D16" s="288"/>
      <c r="E16" s="289"/>
      <c r="F16" s="287"/>
      <c r="G16" s="290"/>
      <c r="H16" s="291">
        <f aca="true" t="shared" si="3" ref="H16:H88">I16+J16</f>
        <v>2</v>
      </c>
      <c r="I16" s="292"/>
      <c r="J16" s="313">
        <v>2</v>
      </c>
      <c r="K16" s="70"/>
      <c r="L16" s="71"/>
      <c r="M16" s="72"/>
      <c r="N16" s="68"/>
      <c r="O16" s="66"/>
      <c r="P16" s="68"/>
      <c r="Q16" s="68"/>
      <c r="R16" s="68"/>
      <c r="S16" s="68"/>
      <c r="T16" s="68"/>
      <c r="U16" s="68"/>
      <c r="V16" s="68"/>
      <c r="W16" s="68"/>
      <c r="X16" s="73"/>
    </row>
    <row r="17" spans="1:24" ht="13.5" thickBot="1">
      <c r="A17" s="399"/>
      <c r="B17" s="311"/>
      <c r="C17" s="295" t="s">
        <v>56</v>
      </c>
      <c r="D17" s="296"/>
      <c r="E17" s="297"/>
      <c r="F17" s="295"/>
      <c r="G17" s="298"/>
      <c r="H17" s="299">
        <f t="shared" si="3"/>
        <v>249.277</v>
      </c>
      <c r="I17" s="300"/>
      <c r="J17" s="314">
        <v>249.277</v>
      </c>
      <c r="K17" s="78"/>
      <c r="L17" s="79"/>
      <c r="M17" s="80"/>
      <c r="N17" s="76"/>
      <c r="O17" s="74"/>
      <c r="P17" s="76"/>
      <c r="Q17" s="76"/>
      <c r="R17" s="76"/>
      <c r="S17" s="76"/>
      <c r="T17" s="76"/>
      <c r="U17" s="76"/>
      <c r="V17" s="76"/>
      <c r="W17" s="76"/>
      <c r="X17" s="81"/>
    </row>
    <row r="18" spans="1:24" ht="15">
      <c r="A18" s="397" t="s">
        <v>59</v>
      </c>
      <c r="B18" s="196" t="s">
        <v>60</v>
      </c>
      <c r="C18" s="197" t="s">
        <v>54</v>
      </c>
      <c r="D18" s="198"/>
      <c r="E18" s="199"/>
      <c r="F18" s="197"/>
      <c r="G18" s="200"/>
      <c r="H18" s="220">
        <f t="shared" si="3"/>
        <v>0.408</v>
      </c>
      <c r="I18" s="227"/>
      <c r="J18" s="222">
        <v>0.408</v>
      </c>
      <c r="K18" s="62"/>
      <c r="L18" s="63"/>
      <c r="M18" s="64"/>
      <c r="N18" s="57"/>
      <c r="O18" s="55"/>
      <c r="P18" s="57"/>
      <c r="Q18" s="57"/>
      <c r="R18" s="57"/>
      <c r="S18" s="57"/>
      <c r="T18" s="57"/>
      <c r="U18" s="57"/>
      <c r="V18" s="57"/>
      <c r="W18" s="57"/>
      <c r="X18" s="65"/>
    </row>
    <row r="19" spans="1:24" ht="15">
      <c r="A19" s="398"/>
      <c r="B19" s="204"/>
      <c r="C19" s="205" t="s">
        <v>55</v>
      </c>
      <c r="D19" s="206"/>
      <c r="E19" s="207"/>
      <c r="F19" s="205"/>
      <c r="G19" s="208"/>
      <c r="H19" s="209">
        <f t="shared" si="3"/>
        <v>1</v>
      </c>
      <c r="I19" s="210"/>
      <c r="J19" s="211">
        <v>1</v>
      </c>
      <c r="K19" s="70"/>
      <c r="L19" s="71"/>
      <c r="M19" s="72"/>
      <c r="N19" s="68"/>
      <c r="O19" s="66"/>
      <c r="P19" s="68"/>
      <c r="Q19" s="68"/>
      <c r="R19" s="68"/>
      <c r="S19" s="68"/>
      <c r="T19" s="68"/>
      <c r="U19" s="68"/>
      <c r="V19" s="68"/>
      <c r="W19" s="68"/>
      <c r="X19" s="73"/>
    </row>
    <row r="20" spans="1:24" ht="13.5" thickBot="1">
      <c r="A20" s="399"/>
      <c r="B20" s="212"/>
      <c r="C20" s="213" t="s">
        <v>56</v>
      </c>
      <c r="D20" s="214"/>
      <c r="E20" s="215"/>
      <c r="F20" s="213"/>
      <c r="G20" s="216"/>
      <c r="H20" s="224">
        <f t="shared" si="3"/>
        <v>132.421</v>
      </c>
      <c r="I20" s="228"/>
      <c r="J20" s="226">
        <v>132.421</v>
      </c>
      <c r="K20" s="78"/>
      <c r="L20" s="79"/>
      <c r="M20" s="80"/>
      <c r="N20" s="76"/>
      <c r="O20" s="74"/>
      <c r="P20" s="76"/>
      <c r="Q20" s="76"/>
      <c r="R20" s="76"/>
      <c r="S20" s="76"/>
      <c r="T20" s="76"/>
      <c r="U20" s="76"/>
      <c r="V20" s="76"/>
      <c r="W20" s="76"/>
      <c r="X20" s="81"/>
    </row>
    <row r="21" spans="1:24" ht="15">
      <c r="A21" s="415" t="s">
        <v>61</v>
      </c>
      <c r="B21" s="116" t="s">
        <v>24</v>
      </c>
      <c r="C21" s="117" t="s">
        <v>54</v>
      </c>
      <c r="D21" s="118"/>
      <c r="E21" s="119"/>
      <c r="F21" s="117"/>
      <c r="G21" s="120"/>
      <c r="H21" s="121">
        <f t="shared" si="3"/>
        <v>0.562</v>
      </c>
      <c r="I21" s="122">
        <f>0.279+0.283</f>
        <v>0.562</v>
      </c>
      <c r="J21" s="123"/>
      <c r="K21" s="62"/>
      <c r="L21" s="63"/>
      <c r="M21" s="64"/>
      <c r="N21" s="57"/>
      <c r="O21" s="55"/>
      <c r="P21" s="57"/>
      <c r="Q21" s="57"/>
      <c r="R21" s="57"/>
      <c r="S21" s="57"/>
      <c r="T21" s="57"/>
      <c r="U21" s="57"/>
      <c r="V21" s="57"/>
      <c r="W21" s="57"/>
      <c r="X21" s="65"/>
    </row>
    <row r="22" spans="1:24" ht="15">
      <c r="A22" s="416"/>
      <c r="B22" s="124"/>
      <c r="C22" s="125" t="s">
        <v>55</v>
      </c>
      <c r="D22" s="126"/>
      <c r="E22" s="127"/>
      <c r="F22" s="125"/>
      <c r="G22" s="128"/>
      <c r="H22" s="129">
        <f t="shared" si="3"/>
        <v>2</v>
      </c>
      <c r="I22" s="130">
        <f>1+1</f>
        <v>2</v>
      </c>
      <c r="J22" s="131"/>
      <c r="K22" s="70"/>
      <c r="L22" s="71"/>
      <c r="M22" s="72"/>
      <c r="N22" s="68"/>
      <c r="O22" s="66"/>
      <c r="P22" s="68"/>
      <c r="Q22" s="68"/>
      <c r="R22" s="68"/>
      <c r="S22" s="68"/>
      <c r="T22" s="68"/>
      <c r="U22" s="68"/>
      <c r="V22" s="68"/>
      <c r="W22" s="68"/>
      <c r="X22" s="73"/>
    </row>
    <row r="23" spans="1:24" ht="13.5" thickBot="1">
      <c r="A23" s="417"/>
      <c r="B23" s="132"/>
      <c r="C23" s="133" t="s">
        <v>56</v>
      </c>
      <c r="D23" s="134"/>
      <c r="E23" s="135"/>
      <c r="F23" s="133"/>
      <c r="G23" s="136"/>
      <c r="H23" s="137">
        <f t="shared" si="3"/>
        <v>160.793</v>
      </c>
      <c r="I23" s="138">
        <f>81.245+79.548</f>
        <v>160.793</v>
      </c>
      <c r="J23" s="139"/>
      <c r="K23" s="78"/>
      <c r="L23" s="79"/>
      <c r="M23" s="80"/>
      <c r="N23" s="76"/>
      <c r="O23" s="74"/>
      <c r="P23" s="76"/>
      <c r="Q23" s="76"/>
      <c r="R23" s="76"/>
      <c r="S23" s="76"/>
      <c r="T23" s="76"/>
      <c r="U23" s="76"/>
      <c r="V23" s="76"/>
      <c r="W23" s="76"/>
      <c r="X23" s="81"/>
    </row>
    <row r="24" spans="1:24" ht="15">
      <c r="A24" s="415" t="s">
        <v>62</v>
      </c>
      <c r="B24" s="116" t="s">
        <v>63</v>
      </c>
      <c r="C24" s="117" t="s">
        <v>54</v>
      </c>
      <c r="D24" s="118"/>
      <c r="E24" s="119"/>
      <c r="F24" s="117"/>
      <c r="G24" s="120"/>
      <c r="H24" s="121">
        <f t="shared" si="3"/>
        <v>0.576</v>
      </c>
      <c r="I24" s="122">
        <f>0.288+0.288</f>
        <v>0.576</v>
      </c>
      <c r="J24" s="123"/>
      <c r="K24" s="62"/>
      <c r="L24" s="63"/>
      <c r="M24" s="64"/>
      <c r="N24" s="57"/>
      <c r="O24" s="55"/>
      <c r="P24" s="57"/>
      <c r="Q24" s="57"/>
      <c r="R24" s="57"/>
      <c r="S24" s="57"/>
      <c r="T24" s="57"/>
      <c r="U24" s="57"/>
      <c r="V24" s="57"/>
      <c r="W24" s="57"/>
      <c r="X24" s="65"/>
    </row>
    <row r="25" spans="1:24" ht="15">
      <c r="A25" s="416"/>
      <c r="B25" s="124"/>
      <c r="C25" s="125" t="s">
        <v>55</v>
      </c>
      <c r="D25" s="126"/>
      <c r="E25" s="127"/>
      <c r="F25" s="125"/>
      <c r="G25" s="128"/>
      <c r="H25" s="129">
        <f t="shared" si="3"/>
        <v>2</v>
      </c>
      <c r="I25" s="130">
        <f>1+1</f>
        <v>2</v>
      </c>
      <c r="J25" s="131"/>
      <c r="K25" s="70"/>
      <c r="L25" s="71"/>
      <c r="M25" s="72"/>
      <c r="N25" s="68"/>
      <c r="O25" s="66"/>
      <c r="P25" s="68"/>
      <c r="Q25" s="68"/>
      <c r="R25" s="68"/>
      <c r="S25" s="68"/>
      <c r="T25" s="68"/>
      <c r="U25" s="68"/>
      <c r="V25" s="68"/>
      <c r="W25" s="68"/>
      <c r="X25" s="73"/>
    </row>
    <row r="26" spans="1:24" ht="13.5" thickBot="1">
      <c r="A26" s="417"/>
      <c r="B26" s="132"/>
      <c r="C26" s="133" t="s">
        <v>56</v>
      </c>
      <c r="D26" s="134"/>
      <c r="E26" s="135"/>
      <c r="F26" s="133"/>
      <c r="G26" s="136"/>
      <c r="H26" s="137">
        <f t="shared" si="3"/>
        <v>158.957</v>
      </c>
      <c r="I26" s="138">
        <f>78.936+80.021</f>
        <v>158.957</v>
      </c>
      <c r="J26" s="139"/>
      <c r="K26" s="78"/>
      <c r="L26" s="79"/>
      <c r="M26" s="80"/>
      <c r="N26" s="76"/>
      <c r="O26" s="74"/>
      <c r="P26" s="76"/>
      <c r="Q26" s="76"/>
      <c r="R26" s="76"/>
      <c r="S26" s="76"/>
      <c r="T26" s="76"/>
      <c r="U26" s="76"/>
      <c r="V26" s="76"/>
      <c r="W26" s="76"/>
      <c r="X26" s="81"/>
    </row>
    <row r="27" spans="1:24" ht="15">
      <c r="A27" s="397" t="s">
        <v>64</v>
      </c>
      <c r="B27" s="155" t="s">
        <v>65</v>
      </c>
      <c r="C27" s="156" t="s">
        <v>54</v>
      </c>
      <c r="D27" s="157"/>
      <c r="E27" s="158"/>
      <c r="F27" s="156"/>
      <c r="G27" s="159"/>
      <c r="H27" s="160">
        <f t="shared" si="3"/>
        <v>0.469</v>
      </c>
      <c r="I27" s="161"/>
      <c r="J27" s="162">
        <v>0.469</v>
      </c>
      <c r="K27" s="62"/>
      <c r="L27" s="63"/>
      <c r="M27" s="64"/>
      <c r="N27" s="57"/>
      <c r="O27" s="55"/>
      <c r="P27" s="57"/>
      <c r="Q27" s="57"/>
      <c r="R27" s="57"/>
      <c r="S27" s="57"/>
      <c r="T27" s="57"/>
      <c r="U27" s="57"/>
      <c r="V27" s="57"/>
      <c r="W27" s="57"/>
      <c r="X27" s="65"/>
    </row>
    <row r="28" spans="1:24" ht="15">
      <c r="A28" s="398"/>
      <c r="B28" s="163"/>
      <c r="C28" s="164" t="s">
        <v>55</v>
      </c>
      <c r="D28" s="165"/>
      <c r="E28" s="166"/>
      <c r="F28" s="164"/>
      <c r="G28" s="167"/>
      <c r="H28" s="168">
        <f t="shared" si="3"/>
        <v>1</v>
      </c>
      <c r="I28" s="169"/>
      <c r="J28" s="170">
        <v>1</v>
      </c>
      <c r="K28" s="70"/>
      <c r="L28" s="71"/>
      <c r="M28" s="72"/>
      <c r="N28" s="68"/>
      <c r="O28" s="66"/>
      <c r="P28" s="68"/>
      <c r="Q28" s="68"/>
      <c r="R28" s="68"/>
      <c r="S28" s="68"/>
      <c r="T28" s="68"/>
      <c r="U28" s="68"/>
      <c r="V28" s="68"/>
      <c r="W28" s="68"/>
      <c r="X28" s="73"/>
    </row>
    <row r="29" spans="1:24" ht="13.5" thickBot="1">
      <c r="A29" s="399"/>
      <c r="B29" s="171"/>
      <c r="C29" s="172" t="s">
        <v>56</v>
      </c>
      <c r="D29" s="173"/>
      <c r="E29" s="174"/>
      <c r="F29" s="172"/>
      <c r="G29" s="175"/>
      <c r="H29" s="176">
        <f t="shared" si="3"/>
        <v>135.653</v>
      </c>
      <c r="I29" s="177"/>
      <c r="J29" s="178">
        <v>135.653</v>
      </c>
      <c r="K29" s="78"/>
      <c r="L29" s="79"/>
      <c r="M29" s="80"/>
      <c r="N29" s="76"/>
      <c r="O29" s="74"/>
      <c r="P29" s="76"/>
      <c r="Q29" s="76"/>
      <c r="R29" s="76"/>
      <c r="S29" s="76"/>
      <c r="T29" s="76"/>
      <c r="U29" s="76"/>
      <c r="V29" s="76"/>
      <c r="W29" s="76"/>
      <c r="X29" s="81"/>
    </row>
    <row r="30" spans="1:24" ht="15">
      <c r="A30" s="397" t="s">
        <v>66</v>
      </c>
      <c r="B30" s="116" t="s">
        <v>67</v>
      </c>
      <c r="C30" s="117" t="s">
        <v>54</v>
      </c>
      <c r="D30" s="118"/>
      <c r="E30" s="119"/>
      <c r="F30" s="117"/>
      <c r="G30" s="120"/>
      <c r="H30" s="121">
        <f t="shared" si="3"/>
        <v>0.282</v>
      </c>
      <c r="I30" s="122">
        <v>0.282</v>
      </c>
      <c r="J30" s="123"/>
      <c r="K30" s="62"/>
      <c r="L30" s="63"/>
      <c r="M30" s="64"/>
      <c r="N30" s="57"/>
      <c r="O30" s="55"/>
      <c r="P30" s="57"/>
      <c r="Q30" s="57"/>
      <c r="R30" s="57"/>
      <c r="S30" s="57"/>
      <c r="T30" s="57"/>
      <c r="U30" s="57"/>
      <c r="V30" s="57"/>
      <c r="W30" s="57"/>
      <c r="X30" s="65"/>
    </row>
    <row r="31" spans="1:24" ht="15">
      <c r="A31" s="398"/>
      <c r="B31" s="124"/>
      <c r="C31" s="125" t="s">
        <v>55</v>
      </c>
      <c r="D31" s="126"/>
      <c r="E31" s="127"/>
      <c r="F31" s="125"/>
      <c r="G31" s="128"/>
      <c r="H31" s="129">
        <f t="shared" si="3"/>
        <v>1</v>
      </c>
      <c r="I31" s="130">
        <v>1</v>
      </c>
      <c r="J31" s="131"/>
      <c r="K31" s="70"/>
      <c r="L31" s="71"/>
      <c r="M31" s="72"/>
      <c r="N31" s="68"/>
      <c r="O31" s="66"/>
      <c r="P31" s="68"/>
      <c r="Q31" s="68"/>
      <c r="R31" s="68"/>
      <c r="S31" s="68"/>
      <c r="T31" s="68"/>
      <c r="U31" s="68"/>
      <c r="V31" s="68"/>
      <c r="W31" s="68"/>
      <c r="X31" s="73"/>
    </row>
    <row r="32" spans="1:24" ht="13.5" thickBot="1">
      <c r="A32" s="399"/>
      <c r="B32" s="132"/>
      <c r="C32" s="133" t="s">
        <v>56</v>
      </c>
      <c r="D32" s="134"/>
      <c r="E32" s="135"/>
      <c r="F32" s="133"/>
      <c r="G32" s="136"/>
      <c r="H32" s="137">
        <f t="shared" si="3"/>
        <v>79.835</v>
      </c>
      <c r="I32" s="138">
        <v>79.835</v>
      </c>
      <c r="J32" s="139"/>
      <c r="K32" s="78"/>
      <c r="L32" s="79"/>
      <c r="M32" s="80"/>
      <c r="N32" s="76"/>
      <c r="O32" s="74"/>
      <c r="P32" s="76"/>
      <c r="Q32" s="76"/>
      <c r="R32" s="76"/>
      <c r="S32" s="76"/>
      <c r="T32" s="76"/>
      <c r="U32" s="76"/>
      <c r="V32" s="76"/>
      <c r="W32" s="76"/>
      <c r="X32" s="81"/>
    </row>
    <row r="33" spans="1:24" ht="15">
      <c r="A33" s="397" t="s">
        <v>68</v>
      </c>
      <c r="B33" s="116" t="s">
        <v>69</v>
      </c>
      <c r="C33" s="117" t="s">
        <v>54</v>
      </c>
      <c r="D33" s="118"/>
      <c r="E33" s="119"/>
      <c r="F33" s="117"/>
      <c r="G33" s="120"/>
      <c r="H33" s="140">
        <f t="shared" si="3"/>
        <v>0.556</v>
      </c>
      <c r="I33" s="141">
        <f>0.278+0.278</f>
        <v>0.556</v>
      </c>
      <c r="J33" s="142"/>
      <c r="K33" s="62"/>
      <c r="L33" s="63"/>
      <c r="M33" s="64"/>
      <c r="N33" s="57"/>
      <c r="O33" s="55"/>
      <c r="P33" s="57"/>
      <c r="Q33" s="57"/>
      <c r="R33" s="57"/>
      <c r="S33" s="57"/>
      <c r="T33" s="57"/>
      <c r="U33" s="57"/>
      <c r="V33" s="57"/>
      <c r="W33" s="57"/>
      <c r="X33" s="65"/>
    </row>
    <row r="34" spans="1:24" ht="15">
      <c r="A34" s="398"/>
      <c r="B34" s="124"/>
      <c r="C34" s="125" t="s">
        <v>55</v>
      </c>
      <c r="D34" s="126"/>
      <c r="E34" s="127"/>
      <c r="F34" s="125"/>
      <c r="G34" s="128"/>
      <c r="H34" s="129">
        <f t="shared" si="3"/>
        <v>2</v>
      </c>
      <c r="I34" s="130">
        <f>1+1</f>
        <v>2</v>
      </c>
      <c r="J34" s="131"/>
      <c r="K34" s="70"/>
      <c r="L34" s="71"/>
      <c r="M34" s="72"/>
      <c r="N34" s="68"/>
      <c r="O34" s="66"/>
      <c r="P34" s="68"/>
      <c r="Q34" s="68"/>
      <c r="R34" s="68"/>
      <c r="S34" s="68"/>
      <c r="T34" s="68"/>
      <c r="U34" s="68"/>
      <c r="V34" s="68"/>
      <c r="W34" s="68"/>
      <c r="X34" s="73"/>
    </row>
    <row r="35" spans="1:24" ht="13.5" thickBot="1">
      <c r="A35" s="399"/>
      <c r="B35" s="132"/>
      <c r="C35" s="133" t="s">
        <v>56</v>
      </c>
      <c r="D35" s="134"/>
      <c r="E35" s="135"/>
      <c r="F35" s="133"/>
      <c r="G35" s="136"/>
      <c r="H35" s="143">
        <f t="shared" si="3"/>
        <v>164.834</v>
      </c>
      <c r="I35" s="144">
        <f>98.071+66.763</f>
        <v>164.834</v>
      </c>
      <c r="J35" s="145"/>
      <c r="K35" s="78"/>
      <c r="L35" s="79"/>
      <c r="M35" s="80"/>
      <c r="N35" s="76"/>
      <c r="O35" s="74"/>
      <c r="P35" s="76"/>
      <c r="Q35" s="76"/>
      <c r="R35" s="76"/>
      <c r="S35" s="76"/>
      <c r="T35" s="76"/>
      <c r="U35" s="76"/>
      <c r="V35" s="76"/>
      <c r="W35" s="76"/>
      <c r="X35" s="81"/>
    </row>
    <row r="36" spans="1:24" ht="15">
      <c r="A36" s="397" t="s">
        <v>70</v>
      </c>
      <c r="B36" s="116" t="s">
        <v>71</v>
      </c>
      <c r="C36" s="117" t="s">
        <v>54</v>
      </c>
      <c r="D36" s="118"/>
      <c r="E36" s="119"/>
      <c r="F36" s="117"/>
      <c r="G36" s="120"/>
      <c r="H36" s="121">
        <f t="shared" si="3"/>
        <v>0.544</v>
      </c>
      <c r="I36" s="122">
        <f>0.272+0.272</f>
        <v>0.544</v>
      </c>
      <c r="J36" s="123"/>
      <c r="K36" s="62"/>
      <c r="L36" s="63"/>
      <c r="M36" s="64"/>
      <c r="N36" s="57"/>
      <c r="O36" s="55"/>
      <c r="P36" s="57"/>
      <c r="Q36" s="57"/>
      <c r="R36" s="57"/>
      <c r="S36" s="57"/>
      <c r="T36" s="57"/>
      <c r="U36" s="57"/>
      <c r="V36" s="57"/>
      <c r="W36" s="57"/>
      <c r="X36" s="65"/>
    </row>
    <row r="37" spans="1:24" ht="15">
      <c r="A37" s="398"/>
      <c r="B37" s="124"/>
      <c r="C37" s="125" t="s">
        <v>55</v>
      </c>
      <c r="D37" s="126"/>
      <c r="E37" s="127"/>
      <c r="F37" s="125"/>
      <c r="G37" s="128"/>
      <c r="H37" s="129">
        <f t="shared" si="3"/>
        <v>2</v>
      </c>
      <c r="I37" s="130">
        <f>1+1</f>
        <v>2</v>
      </c>
      <c r="J37" s="131"/>
      <c r="K37" s="70"/>
      <c r="L37" s="71"/>
      <c r="M37" s="72"/>
      <c r="N37" s="68"/>
      <c r="O37" s="66"/>
      <c r="P37" s="68"/>
      <c r="Q37" s="68"/>
      <c r="R37" s="68"/>
      <c r="S37" s="68"/>
      <c r="T37" s="68"/>
      <c r="U37" s="68"/>
      <c r="V37" s="68"/>
      <c r="W37" s="68"/>
      <c r="X37" s="73"/>
    </row>
    <row r="38" spans="1:24" ht="13.5" thickBot="1">
      <c r="A38" s="399"/>
      <c r="B38" s="132"/>
      <c r="C38" s="133" t="s">
        <v>56</v>
      </c>
      <c r="D38" s="134"/>
      <c r="E38" s="135"/>
      <c r="F38" s="133"/>
      <c r="G38" s="136"/>
      <c r="H38" s="137">
        <f t="shared" si="3"/>
        <v>168.57999999999998</v>
      </c>
      <c r="I38" s="138">
        <f>85.248+83.332</f>
        <v>168.57999999999998</v>
      </c>
      <c r="J38" s="139"/>
      <c r="K38" s="78"/>
      <c r="L38" s="79"/>
      <c r="M38" s="80"/>
      <c r="N38" s="76"/>
      <c r="O38" s="74"/>
      <c r="P38" s="76"/>
      <c r="Q38" s="76"/>
      <c r="R38" s="76"/>
      <c r="S38" s="76"/>
      <c r="T38" s="76"/>
      <c r="U38" s="76"/>
      <c r="V38" s="76"/>
      <c r="W38" s="76"/>
      <c r="X38" s="81"/>
    </row>
    <row r="39" spans="1:24" ht="15">
      <c r="A39" s="397" t="s">
        <v>72</v>
      </c>
      <c r="B39" s="116" t="s">
        <v>73</v>
      </c>
      <c r="C39" s="117" t="s">
        <v>54</v>
      </c>
      <c r="D39" s="118"/>
      <c r="E39" s="119"/>
      <c r="F39" s="117"/>
      <c r="G39" s="120"/>
      <c r="H39" s="140">
        <f t="shared" si="3"/>
        <v>0.56</v>
      </c>
      <c r="I39" s="141">
        <f>0.277+0.283</f>
        <v>0.56</v>
      </c>
      <c r="J39" s="142"/>
      <c r="K39" s="62"/>
      <c r="L39" s="63"/>
      <c r="M39" s="64"/>
      <c r="N39" s="57"/>
      <c r="O39" s="55"/>
      <c r="P39" s="57"/>
      <c r="Q39" s="57"/>
      <c r="R39" s="57"/>
      <c r="S39" s="57"/>
      <c r="T39" s="57"/>
      <c r="U39" s="57"/>
      <c r="V39" s="57"/>
      <c r="W39" s="57"/>
      <c r="X39" s="65"/>
    </row>
    <row r="40" spans="1:24" ht="15">
      <c r="A40" s="398"/>
      <c r="B40" s="124"/>
      <c r="C40" s="125" t="s">
        <v>55</v>
      </c>
      <c r="D40" s="126"/>
      <c r="E40" s="127"/>
      <c r="F40" s="125"/>
      <c r="G40" s="128"/>
      <c r="H40" s="129">
        <f t="shared" si="3"/>
        <v>2</v>
      </c>
      <c r="I40" s="130">
        <f>1+1</f>
        <v>2</v>
      </c>
      <c r="J40" s="131"/>
      <c r="K40" s="70"/>
      <c r="L40" s="71"/>
      <c r="M40" s="72"/>
      <c r="N40" s="68"/>
      <c r="O40" s="66"/>
      <c r="P40" s="68"/>
      <c r="Q40" s="68"/>
      <c r="R40" s="68"/>
      <c r="S40" s="68"/>
      <c r="T40" s="68"/>
      <c r="U40" s="68"/>
      <c r="V40" s="68"/>
      <c r="W40" s="68"/>
      <c r="X40" s="73"/>
    </row>
    <row r="41" spans="1:24" ht="13.5" thickBot="1">
      <c r="A41" s="399"/>
      <c r="B41" s="132"/>
      <c r="C41" s="133" t="s">
        <v>56</v>
      </c>
      <c r="D41" s="134"/>
      <c r="E41" s="135"/>
      <c r="F41" s="133"/>
      <c r="G41" s="136"/>
      <c r="H41" s="143">
        <f t="shared" si="3"/>
        <v>200.45499999999998</v>
      </c>
      <c r="I41" s="144">
        <f>77.592+122.863</f>
        <v>200.45499999999998</v>
      </c>
      <c r="J41" s="145"/>
      <c r="K41" s="78"/>
      <c r="L41" s="79"/>
      <c r="M41" s="80"/>
      <c r="N41" s="76"/>
      <c r="O41" s="74"/>
      <c r="P41" s="76"/>
      <c r="Q41" s="76"/>
      <c r="R41" s="76"/>
      <c r="S41" s="76"/>
      <c r="T41" s="76"/>
      <c r="U41" s="76"/>
      <c r="V41" s="76"/>
      <c r="W41" s="76"/>
      <c r="X41" s="81"/>
    </row>
    <row r="42" spans="1:24" ht="15">
      <c r="A42" s="397" t="s">
        <v>74</v>
      </c>
      <c r="B42" s="116" t="s">
        <v>75</v>
      </c>
      <c r="C42" s="117" t="s">
        <v>54</v>
      </c>
      <c r="D42" s="118"/>
      <c r="E42" s="119"/>
      <c r="F42" s="117"/>
      <c r="G42" s="120"/>
      <c r="H42" s="121">
        <f t="shared" si="3"/>
        <v>0.278</v>
      </c>
      <c r="I42" s="122">
        <v>0.278</v>
      </c>
      <c r="J42" s="123"/>
      <c r="K42" s="62"/>
      <c r="L42" s="63"/>
      <c r="M42" s="64"/>
      <c r="N42" s="57"/>
      <c r="O42" s="55"/>
      <c r="P42" s="57"/>
      <c r="Q42" s="57"/>
      <c r="R42" s="57"/>
      <c r="S42" s="57"/>
      <c r="T42" s="57"/>
      <c r="U42" s="57"/>
      <c r="V42" s="57"/>
      <c r="W42" s="57"/>
      <c r="X42" s="65"/>
    </row>
    <row r="43" spans="1:24" ht="15">
      <c r="A43" s="398"/>
      <c r="B43" s="124"/>
      <c r="C43" s="125" t="s">
        <v>55</v>
      </c>
      <c r="D43" s="126"/>
      <c r="E43" s="127"/>
      <c r="F43" s="125"/>
      <c r="G43" s="128"/>
      <c r="H43" s="129">
        <f t="shared" si="3"/>
        <v>1</v>
      </c>
      <c r="I43" s="130">
        <v>1</v>
      </c>
      <c r="J43" s="131"/>
      <c r="K43" s="70"/>
      <c r="L43" s="71"/>
      <c r="M43" s="72"/>
      <c r="N43" s="68"/>
      <c r="O43" s="66"/>
      <c r="P43" s="68"/>
      <c r="Q43" s="68"/>
      <c r="R43" s="68"/>
      <c r="S43" s="68"/>
      <c r="T43" s="68"/>
      <c r="U43" s="68"/>
      <c r="V43" s="68"/>
      <c r="W43" s="68"/>
      <c r="X43" s="73"/>
    </row>
    <row r="44" spans="1:24" ht="13.5" thickBot="1">
      <c r="A44" s="399"/>
      <c r="B44" s="132"/>
      <c r="C44" s="133" t="s">
        <v>56</v>
      </c>
      <c r="D44" s="134"/>
      <c r="E44" s="135"/>
      <c r="F44" s="133"/>
      <c r="G44" s="136"/>
      <c r="H44" s="137">
        <f t="shared" si="3"/>
        <v>76.395</v>
      </c>
      <c r="I44" s="138">
        <v>76.395</v>
      </c>
      <c r="J44" s="139"/>
      <c r="K44" s="78"/>
      <c r="L44" s="79"/>
      <c r="M44" s="80"/>
      <c r="N44" s="76"/>
      <c r="O44" s="74"/>
      <c r="P44" s="76"/>
      <c r="Q44" s="76"/>
      <c r="R44" s="76"/>
      <c r="S44" s="76"/>
      <c r="T44" s="76"/>
      <c r="U44" s="76"/>
      <c r="V44" s="76"/>
      <c r="W44" s="76"/>
      <c r="X44" s="81"/>
    </row>
    <row r="45" spans="1:24" ht="15">
      <c r="A45" s="397" t="s">
        <v>76</v>
      </c>
      <c r="B45" s="155" t="s">
        <v>77</v>
      </c>
      <c r="C45" s="156" t="s">
        <v>54</v>
      </c>
      <c r="D45" s="157"/>
      <c r="E45" s="158"/>
      <c r="F45" s="156"/>
      <c r="G45" s="159"/>
      <c r="H45" s="160">
        <f t="shared" si="3"/>
        <v>1.315</v>
      </c>
      <c r="I45" s="161"/>
      <c r="J45" s="162">
        <v>1.315</v>
      </c>
      <c r="K45" s="62"/>
      <c r="L45" s="63"/>
      <c r="M45" s="64"/>
      <c r="N45" s="57"/>
      <c r="O45" s="55"/>
      <c r="P45" s="57"/>
      <c r="Q45" s="57"/>
      <c r="R45" s="57"/>
      <c r="S45" s="57"/>
      <c r="T45" s="57"/>
      <c r="U45" s="57"/>
      <c r="V45" s="57"/>
      <c r="W45" s="57"/>
      <c r="X45" s="65"/>
    </row>
    <row r="46" spans="1:24" ht="15">
      <c r="A46" s="398"/>
      <c r="B46" s="163"/>
      <c r="C46" s="164" t="s">
        <v>55</v>
      </c>
      <c r="D46" s="165"/>
      <c r="E46" s="166"/>
      <c r="F46" s="164"/>
      <c r="G46" s="167"/>
      <c r="H46" s="168">
        <f t="shared" si="3"/>
        <v>2</v>
      </c>
      <c r="I46" s="169"/>
      <c r="J46" s="170">
        <v>2</v>
      </c>
      <c r="K46" s="70"/>
      <c r="L46" s="71"/>
      <c r="M46" s="72"/>
      <c r="N46" s="68"/>
      <c r="O46" s="66"/>
      <c r="P46" s="68"/>
      <c r="Q46" s="68"/>
      <c r="R46" s="68"/>
      <c r="S46" s="68"/>
      <c r="T46" s="68"/>
      <c r="U46" s="68"/>
      <c r="V46" s="68"/>
      <c r="W46" s="68"/>
      <c r="X46" s="73"/>
    </row>
    <row r="47" spans="1:24" ht="13.5" thickBot="1">
      <c r="A47" s="399"/>
      <c r="B47" s="171"/>
      <c r="C47" s="172" t="s">
        <v>56</v>
      </c>
      <c r="D47" s="173"/>
      <c r="E47" s="174"/>
      <c r="F47" s="172"/>
      <c r="G47" s="175"/>
      <c r="H47" s="176">
        <f t="shared" si="3"/>
        <v>432.874</v>
      </c>
      <c r="I47" s="177"/>
      <c r="J47" s="178">
        <v>432.874</v>
      </c>
      <c r="K47" s="78"/>
      <c r="L47" s="79"/>
      <c r="M47" s="80"/>
      <c r="N47" s="76"/>
      <c r="O47" s="74"/>
      <c r="P47" s="76"/>
      <c r="Q47" s="76"/>
      <c r="R47" s="76"/>
      <c r="S47" s="76"/>
      <c r="T47" s="76"/>
      <c r="U47" s="76"/>
      <c r="V47" s="76"/>
      <c r="W47" s="76"/>
      <c r="X47" s="81"/>
    </row>
    <row r="48" spans="1:24" ht="15">
      <c r="A48" s="397" t="s">
        <v>78</v>
      </c>
      <c r="B48" s="155" t="s">
        <v>79</v>
      </c>
      <c r="C48" s="156" t="s">
        <v>54</v>
      </c>
      <c r="D48" s="157"/>
      <c r="E48" s="158"/>
      <c r="F48" s="156"/>
      <c r="G48" s="159"/>
      <c r="H48" s="179">
        <f t="shared" si="3"/>
        <v>0.399</v>
      </c>
      <c r="I48" s="180"/>
      <c r="J48" s="181">
        <v>0.399</v>
      </c>
      <c r="K48" s="62"/>
      <c r="L48" s="63"/>
      <c r="M48" s="64"/>
      <c r="N48" s="57"/>
      <c r="O48" s="55"/>
      <c r="P48" s="57"/>
      <c r="Q48" s="57"/>
      <c r="R48" s="57"/>
      <c r="S48" s="57"/>
      <c r="T48" s="57"/>
      <c r="U48" s="57"/>
      <c r="V48" s="57"/>
      <c r="W48" s="57"/>
      <c r="X48" s="65"/>
    </row>
    <row r="49" spans="1:24" ht="15">
      <c r="A49" s="398"/>
      <c r="B49" s="163"/>
      <c r="C49" s="164" t="s">
        <v>55</v>
      </c>
      <c r="D49" s="165"/>
      <c r="E49" s="166"/>
      <c r="F49" s="164"/>
      <c r="G49" s="167"/>
      <c r="H49" s="168">
        <f t="shared" si="3"/>
        <v>1</v>
      </c>
      <c r="I49" s="169"/>
      <c r="J49" s="170">
        <v>1</v>
      </c>
      <c r="K49" s="70"/>
      <c r="L49" s="71"/>
      <c r="M49" s="72"/>
      <c r="N49" s="68"/>
      <c r="O49" s="66"/>
      <c r="P49" s="68"/>
      <c r="Q49" s="68"/>
      <c r="R49" s="68"/>
      <c r="S49" s="68"/>
      <c r="T49" s="68"/>
      <c r="U49" s="68"/>
      <c r="V49" s="68"/>
      <c r="W49" s="68"/>
      <c r="X49" s="73"/>
    </row>
    <row r="50" spans="1:24" ht="13.5" thickBot="1">
      <c r="A50" s="399"/>
      <c r="B50" s="171"/>
      <c r="C50" s="172" t="s">
        <v>56</v>
      </c>
      <c r="D50" s="173"/>
      <c r="E50" s="174"/>
      <c r="F50" s="172"/>
      <c r="G50" s="175"/>
      <c r="H50" s="182">
        <f t="shared" si="3"/>
        <v>159.062</v>
      </c>
      <c r="I50" s="183"/>
      <c r="J50" s="184">
        <v>159.062</v>
      </c>
      <c r="K50" s="78"/>
      <c r="L50" s="79"/>
      <c r="M50" s="80"/>
      <c r="N50" s="76"/>
      <c r="O50" s="74"/>
      <c r="P50" s="76"/>
      <c r="Q50" s="76"/>
      <c r="R50" s="76"/>
      <c r="S50" s="76"/>
      <c r="T50" s="76"/>
      <c r="U50" s="76"/>
      <c r="V50" s="76"/>
      <c r="W50" s="76"/>
      <c r="X50" s="81"/>
    </row>
    <row r="51" spans="1:24" ht="15">
      <c r="A51" s="397" t="s">
        <v>80</v>
      </c>
      <c r="B51" s="155" t="s">
        <v>81</v>
      </c>
      <c r="C51" s="156" t="s">
        <v>54</v>
      </c>
      <c r="D51" s="157"/>
      <c r="E51" s="158"/>
      <c r="F51" s="156"/>
      <c r="G51" s="159"/>
      <c r="H51" s="160">
        <f t="shared" si="3"/>
        <v>0.466</v>
      </c>
      <c r="I51" s="161"/>
      <c r="J51" s="162">
        <v>0.466</v>
      </c>
      <c r="K51" s="62"/>
      <c r="L51" s="63"/>
      <c r="M51" s="64"/>
      <c r="N51" s="57"/>
      <c r="O51" s="55"/>
      <c r="P51" s="57"/>
      <c r="Q51" s="57"/>
      <c r="R51" s="57"/>
      <c r="S51" s="57"/>
      <c r="T51" s="57"/>
      <c r="U51" s="57"/>
      <c r="V51" s="57"/>
      <c r="W51" s="57"/>
      <c r="X51" s="65"/>
    </row>
    <row r="52" spans="1:24" ht="15">
      <c r="A52" s="398"/>
      <c r="B52" s="163"/>
      <c r="C52" s="164" t="s">
        <v>55</v>
      </c>
      <c r="D52" s="165"/>
      <c r="E52" s="166"/>
      <c r="F52" s="164"/>
      <c r="G52" s="167"/>
      <c r="H52" s="168">
        <f t="shared" si="3"/>
        <v>1</v>
      </c>
      <c r="I52" s="169"/>
      <c r="J52" s="170">
        <v>1</v>
      </c>
      <c r="K52" s="70"/>
      <c r="L52" s="71"/>
      <c r="M52" s="72"/>
      <c r="N52" s="68"/>
      <c r="O52" s="66"/>
      <c r="P52" s="68"/>
      <c r="Q52" s="68"/>
      <c r="R52" s="68"/>
      <c r="S52" s="68"/>
      <c r="T52" s="68"/>
      <c r="U52" s="68"/>
      <c r="V52" s="68"/>
      <c r="W52" s="68"/>
      <c r="X52" s="73"/>
    </row>
    <row r="53" spans="1:24" ht="13.5" thickBot="1">
      <c r="A53" s="399"/>
      <c r="B53" s="171"/>
      <c r="C53" s="172" t="s">
        <v>56</v>
      </c>
      <c r="D53" s="173"/>
      <c r="E53" s="174"/>
      <c r="F53" s="172"/>
      <c r="G53" s="175"/>
      <c r="H53" s="176">
        <f t="shared" si="3"/>
        <v>180.626</v>
      </c>
      <c r="I53" s="177"/>
      <c r="J53" s="178">
        <v>180.626</v>
      </c>
      <c r="K53" s="78"/>
      <c r="L53" s="79"/>
      <c r="M53" s="80"/>
      <c r="N53" s="76"/>
      <c r="O53" s="74"/>
      <c r="P53" s="76"/>
      <c r="Q53" s="76"/>
      <c r="R53" s="76"/>
      <c r="S53" s="76"/>
      <c r="T53" s="76"/>
      <c r="U53" s="76"/>
      <c r="V53" s="76"/>
      <c r="W53" s="76"/>
      <c r="X53" s="81"/>
    </row>
    <row r="54" spans="1:24" ht="15">
      <c r="A54" s="397" t="s">
        <v>82</v>
      </c>
      <c r="B54" s="155" t="s">
        <v>83</v>
      </c>
      <c r="C54" s="156" t="s">
        <v>54</v>
      </c>
      <c r="D54" s="157"/>
      <c r="E54" s="158"/>
      <c r="F54" s="156"/>
      <c r="G54" s="159"/>
      <c r="H54" s="179">
        <f t="shared" si="3"/>
        <v>1.342</v>
      </c>
      <c r="I54" s="180"/>
      <c r="J54" s="181">
        <f>0.643+0.699</f>
        <v>1.342</v>
      </c>
      <c r="K54" s="62"/>
      <c r="L54" s="63"/>
      <c r="M54" s="64"/>
      <c r="N54" s="57"/>
      <c r="O54" s="55"/>
      <c r="P54" s="57"/>
      <c r="Q54" s="57"/>
      <c r="R54" s="57"/>
      <c r="S54" s="57"/>
      <c r="T54" s="57"/>
      <c r="U54" s="57"/>
      <c r="V54" s="57"/>
      <c r="W54" s="57"/>
      <c r="X54" s="65"/>
    </row>
    <row r="55" spans="1:24" ht="15">
      <c r="A55" s="398"/>
      <c r="B55" s="163"/>
      <c r="C55" s="164" t="s">
        <v>55</v>
      </c>
      <c r="D55" s="165"/>
      <c r="E55" s="166"/>
      <c r="F55" s="164"/>
      <c r="G55" s="167"/>
      <c r="H55" s="168">
        <f t="shared" si="3"/>
        <v>2</v>
      </c>
      <c r="I55" s="169"/>
      <c r="J55" s="170">
        <f>1+1</f>
        <v>2</v>
      </c>
      <c r="K55" s="70"/>
      <c r="L55" s="71"/>
      <c r="M55" s="72"/>
      <c r="N55" s="68"/>
      <c r="O55" s="66"/>
      <c r="P55" s="68"/>
      <c r="Q55" s="68"/>
      <c r="R55" s="68"/>
      <c r="S55" s="68"/>
      <c r="T55" s="68"/>
      <c r="U55" s="68"/>
      <c r="V55" s="68"/>
      <c r="W55" s="68"/>
      <c r="X55" s="73"/>
    </row>
    <row r="56" spans="1:24" ht="13.5" thickBot="1">
      <c r="A56" s="399"/>
      <c r="B56" s="171"/>
      <c r="C56" s="172" t="s">
        <v>56</v>
      </c>
      <c r="D56" s="173"/>
      <c r="E56" s="174"/>
      <c r="F56" s="172"/>
      <c r="G56" s="175"/>
      <c r="H56" s="182">
        <f t="shared" si="3"/>
        <v>421.05100000000004</v>
      </c>
      <c r="I56" s="183"/>
      <c r="J56" s="184">
        <f>239.84+181.211</f>
        <v>421.05100000000004</v>
      </c>
      <c r="K56" s="78"/>
      <c r="L56" s="79"/>
      <c r="M56" s="80"/>
      <c r="N56" s="76"/>
      <c r="O56" s="74"/>
      <c r="P56" s="76"/>
      <c r="Q56" s="76"/>
      <c r="R56" s="76"/>
      <c r="S56" s="76"/>
      <c r="T56" s="76"/>
      <c r="U56" s="76"/>
      <c r="V56" s="76"/>
      <c r="W56" s="76"/>
      <c r="X56" s="81"/>
    </row>
    <row r="57" spans="1:24" ht="15">
      <c r="A57" s="397" t="s">
        <v>84</v>
      </c>
      <c r="B57" s="155" t="s">
        <v>85</v>
      </c>
      <c r="C57" s="156" t="s">
        <v>54</v>
      </c>
      <c r="D57" s="157"/>
      <c r="E57" s="158"/>
      <c r="F57" s="156"/>
      <c r="G57" s="159"/>
      <c r="H57" s="160">
        <f t="shared" si="3"/>
        <v>0.301</v>
      </c>
      <c r="I57" s="161"/>
      <c r="J57" s="162">
        <v>0.301</v>
      </c>
      <c r="K57" s="62"/>
      <c r="L57" s="63"/>
      <c r="M57" s="64"/>
      <c r="N57" s="57"/>
      <c r="O57" s="55"/>
      <c r="P57" s="57"/>
      <c r="Q57" s="57"/>
      <c r="R57" s="57"/>
      <c r="S57" s="57"/>
      <c r="T57" s="57"/>
      <c r="U57" s="57"/>
      <c r="V57" s="57"/>
      <c r="W57" s="57"/>
      <c r="X57" s="65"/>
    </row>
    <row r="58" spans="1:24" ht="15">
      <c r="A58" s="398"/>
      <c r="B58" s="163"/>
      <c r="C58" s="164" t="s">
        <v>55</v>
      </c>
      <c r="D58" s="165"/>
      <c r="E58" s="166"/>
      <c r="F58" s="164"/>
      <c r="G58" s="167"/>
      <c r="H58" s="168">
        <f t="shared" si="3"/>
        <v>1</v>
      </c>
      <c r="I58" s="169"/>
      <c r="J58" s="170">
        <v>1</v>
      </c>
      <c r="K58" s="70"/>
      <c r="L58" s="71"/>
      <c r="M58" s="72"/>
      <c r="N58" s="68"/>
      <c r="O58" s="66"/>
      <c r="P58" s="68"/>
      <c r="Q58" s="68"/>
      <c r="R58" s="68"/>
      <c r="S58" s="68"/>
      <c r="T58" s="68"/>
      <c r="U58" s="68"/>
      <c r="V58" s="68"/>
      <c r="W58" s="68"/>
      <c r="X58" s="73"/>
    </row>
    <row r="59" spans="1:24" ht="13.5" thickBot="1">
      <c r="A59" s="399"/>
      <c r="B59" s="171"/>
      <c r="C59" s="172" t="s">
        <v>56</v>
      </c>
      <c r="D59" s="173"/>
      <c r="E59" s="174"/>
      <c r="F59" s="172"/>
      <c r="G59" s="175"/>
      <c r="H59" s="176">
        <f t="shared" si="3"/>
        <v>108.417</v>
      </c>
      <c r="I59" s="177"/>
      <c r="J59" s="178">
        <v>108.417</v>
      </c>
      <c r="K59" s="78"/>
      <c r="L59" s="79"/>
      <c r="M59" s="80"/>
      <c r="N59" s="76"/>
      <c r="O59" s="74"/>
      <c r="P59" s="76"/>
      <c r="Q59" s="76"/>
      <c r="R59" s="76"/>
      <c r="S59" s="76"/>
      <c r="T59" s="76"/>
      <c r="U59" s="76"/>
      <c r="V59" s="76"/>
      <c r="W59" s="76"/>
      <c r="X59" s="81"/>
    </row>
    <row r="60" spans="1:24" ht="15">
      <c r="A60" s="397" t="s">
        <v>86</v>
      </c>
      <c r="B60" s="155" t="s">
        <v>87</v>
      </c>
      <c r="C60" s="156" t="s">
        <v>54</v>
      </c>
      <c r="D60" s="157"/>
      <c r="E60" s="158"/>
      <c r="F60" s="156"/>
      <c r="G60" s="159"/>
      <c r="H60" s="179">
        <f t="shared" si="3"/>
        <v>0.375</v>
      </c>
      <c r="I60" s="180"/>
      <c r="J60" s="181">
        <v>0.375</v>
      </c>
      <c r="K60" s="62"/>
      <c r="L60" s="63"/>
      <c r="M60" s="64"/>
      <c r="N60" s="57"/>
      <c r="O60" s="55"/>
      <c r="P60" s="57"/>
      <c r="Q60" s="57"/>
      <c r="R60" s="57"/>
      <c r="S60" s="57"/>
      <c r="T60" s="57"/>
      <c r="U60" s="57"/>
      <c r="V60" s="57"/>
      <c r="W60" s="57"/>
      <c r="X60" s="65"/>
    </row>
    <row r="61" spans="1:24" ht="15">
      <c r="A61" s="398"/>
      <c r="B61" s="163"/>
      <c r="C61" s="164" t="s">
        <v>55</v>
      </c>
      <c r="D61" s="165"/>
      <c r="E61" s="166"/>
      <c r="F61" s="164"/>
      <c r="G61" s="167"/>
      <c r="H61" s="168">
        <f t="shared" si="3"/>
        <v>1</v>
      </c>
      <c r="I61" s="169"/>
      <c r="J61" s="170">
        <v>1</v>
      </c>
      <c r="K61" s="70"/>
      <c r="L61" s="71"/>
      <c r="M61" s="72"/>
      <c r="N61" s="68"/>
      <c r="O61" s="66"/>
      <c r="P61" s="68"/>
      <c r="Q61" s="68"/>
      <c r="R61" s="68"/>
      <c r="S61" s="68"/>
      <c r="T61" s="68"/>
      <c r="U61" s="68"/>
      <c r="V61" s="68"/>
      <c r="W61" s="68"/>
      <c r="X61" s="73"/>
    </row>
    <row r="62" spans="1:24" ht="13.5" thickBot="1">
      <c r="A62" s="399"/>
      <c r="B62" s="171"/>
      <c r="C62" s="172" t="s">
        <v>56</v>
      </c>
      <c r="D62" s="173"/>
      <c r="E62" s="174"/>
      <c r="F62" s="172"/>
      <c r="G62" s="175"/>
      <c r="H62" s="182">
        <f t="shared" si="3"/>
        <v>157.552</v>
      </c>
      <c r="I62" s="183"/>
      <c r="J62" s="184">
        <v>157.552</v>
      </c>
      <c r="K62" s="78"/>
      <c r="L62" s="79"/>
      <c r="M62" s="80"/>
      <c r="N62" s="76"/>
      <c r="O62" s="74"/>
      <c r="P62" s="76"/>
      <c r="Q62" s="76"/>
      <c r="R62" s="76"/>
      <c r="S62" s="76"/>
      <c r="T62" s="76"/>
      <c r="U62" s="76"/>
      <c r="V62" s="76"/>
      <c r="W62" s="76"/>
      <c r="X62" s="81"/>
    </row>
    <row r="63" spans="1:24" ht="15">
      <c r="A63" s="397" t="s">
        <v>88</v>
      </c>
      <c r="B63" s="155" t="s">
        <v>89</v>
      </c>
      <c r="C63" s="156" t="s">
        <v>54</v>
      </c>
      <c r="D63" s="157"/>
      <c r="E63" s="158"/>
      <c r="F63" s="156"/>
      <c r="G63" s="159"/>
      <c r="H63" s="160">
        <f t="shared" si="3"/>
        <v>0.85</v>
      </c>
      <c r="I63" s="161"/>
      <c r="J63" s="162">
        <v>0.85</v>
      </c>
      <c r="K63" s="62"/>
      <c r="L63" s="63"/>
      <c r="M63" s="64"/>
      <c r="N63" s="57"/>
      <c r="O63" s="55"/>
      <c r="P63" s="57"/>
      <c r="Q63" s="57"/>
      <c r="R63" s="57"/>
      <c r="S63" s="57"/>
      <c r="T63" s="57"/>
      <c r="U63" s="57"/>
      <c r="V63" s="57"/>
      <c r="W63" s="57"/>
      <c r="X63" s="65"/>
    </row>
    <row r="64" spans="1:24" ht="15">
      <c r="A64" s="398"/>
      <c r="B64" s="163"/>
      <c r="C64" s="164" t="s">
        <v>55</v>
      </c>
      <c r="D64" s="165"/>
      <c r="E64" s="166"/>
      <c r="F64" s="164"/>
      <c r="G64" s="167"/>
      <c r="H64" s="168">
        <f t="shared" si="3"/>
        <v>1</v>
      </c>
      <c r="I64" s="169"/>
      <c r="J64" s="170">
        <v>1</v>
      </c>
      <c r="K64" s="70"/>
      <c r="L64" s="71"/>
      <c r="M64" s="72"/>
      <c r="N64" s="68"/>
      <c r="O64" s="66"/>
      <c r="P64" s="68"/>
      <c r="Q64" s="68"/>
      <c r="R64" s="68"/>
      <c r="S64" s="68"/>
      <c r="T64" s="68"/>
      <c r="U64" s="68"/>
      <c r="V64" s="68"/>
      <c r="W64" s="68"/>
      <c r="X64" s="73"/>
    </row>
    <row r="65" spans="1:24" ht="13.5" thickBot="1">
      <c r="A65" s="399"/>
      <c r="B65" s="171"/>
      <c r="C65" s="172" t="s">
        <v>56</v>
      </c>
      <c r="D65" s="173"/>
      <c r="E65" s="174"/>
      <c r="F65" s="172"/>
      <c r="G65" s="175"/>
      <c r="H65" s="176">
        <f t="shared" si="3"/>
        <v>248.415</v>
      </c>
      <c r="I65" s="177"/>
      <c r="J65" s="178">
        <v>248.415</v>
      </c>
      <c r="K65" s="78"/>
      <c r="L65" s="79"/>
      <c r="M65" s="80"/>
      <c r="N65" s="76"/>
      <c r="O65" s="74"/>
      <c r="P65" s="76"/>
      <c r="Q65" s="76"/>
      <c r="R65" s="76"/>
      <c r="S65" s="76"/>
      <c r="T65" s="76"/>
      <c r="U65" s="76"/>
      <c r="V65" s="76"/>
      <c r="W65" s="76"/>
      <c r="X65" s="81"/>
    </row>
    <row r="66" spans="1:24" ht="15">
      <c r="A66" s="397" t="s">
        <v>90</v>
      </c>
      <c r="B66" s="155" t="s">
        <v>91</v>
      </c>
      <c r="C66" s="156" t="s">
        <v>54</v>
      </c>
      <c r="D66" s="157"/>
      <c r="E66" s="158"/>
      <c r="F66" s="156"/>
      <c r="G66" s="159"/>
      <c r="H66" s="179">
        <f t="shared" si="3"/>
        <v>0.724</v>
      </c>
      <c r="I66" s="180"/>
      <c r="J66" s="181">
        <v>0.724</v>
      </c>
      <c r="K66" s="62"/>
      <c r="L66" s="63"/>
      <c r="M66" s="64"/>
      <c r="N66" s="57"/>
      <c r="O66" s="55"/>
      <c r="P66" s="57"/>
      <c r="Q66" s="57"/>
      <c r="R66" s="57"/>
      <c r="S66" s="57"/>
      <c r="T66" s="57"/>
      <c r="U66" s="57"/>
      <c r="V66" s="57"/>
      <c r="W66" s="57"/>
      <c r="X66" s="65"/>
    </row>
    <row r="67" spans="1:24" ht="15">
      <c r="A67" s="398"/>
      <c r="B67" s="163"/>
      <c r="C67" s="164" t="s">
        <v>55</v>
      </c>
      <c r="D67" s="165"/>
      <c r="E67" s="166"/>
      <c r="F67" s="164"/>
      <c r="G67" s="167"/>
      <c r="H67" s="168">
        <f t="shared" si="3"/>
        <v>1</v>
      </c>
      <c r="I67" s="169"/>
      <c r="J67" s="170">
        <v>1</v>
      </c>
      <c r="K67" s="70"/>
      <c r="L67" s="71"/>
      <c r="M67" s="72"/>
      <c r="N67" s="68"/>
      <c r="O67" s="66"/>
      <c r="P67" s="68"/>
      <c r="Q67" s="68"/>
      <c r="R67" s="68"/>
      <c r="S67" s="68"/>
      <c r="T67" s="68"/>
      <c r="U67" s="68"/>
      <c r="V67" s="68"/>
      <c r="W67" s="68"/>
      <c r="X67" s="73"/>
    </row>
    <row r="68" spans="1:24" ht="13.5" thickBot="1">
      <c r="A68" s="399"/>
      <c r="B68" s="171"/>
      <c r="C68" s="172" t="s">
        <v>56</v>
      </c>
      <c r="D68" s="173"/>
      <c r="E68" s="174"/>
      <c r="F68" s="172"/>
      <c r="G68" s="175"/>
      <c r="H68" s="182">
        <f t="shared" si="3"/>
        <v>279.573</v>
      </c>
      <c r="I68" s="183"/>
      <c r="J68" s="184">
        <v>279.573</v>
      </c>
      <c r="K68" s="78"/>
      <c r="L68" s="79"/>
      <c r="M68" s="80"/>
      <c r="N68" s="76"/>
      <c r="O68" s="74"/>
      <c r="P68" s="76"/>
      <c r="Q68" s="76"/>
      <c r="R68" s="76"/>
      <c r="S68" s="76"/>
      <c r="T68" s="76"/>
      <c r="U68" s="76"/>
      <c r="V68" s="76"/>
      <c r="W68" s="76"/>
      <c r="X68" s="81"/>
    </row>
    <row r="69" spans="1:24" ht="15">
      <c r="A69" s="397" t="s">
        <v>92</v>
      </c>
      <c r="B69" s="196" t="s">
        <v>93</v>
      </c>
      <c r="C69" s="197" t="s">
        <v>54</v>
      </c>
      <c r="D69" s="198"/>
      <c r="E69" s="199"/>
      <c r="F69" s="197"/>
      <c r="G69" s="200"/>
      <c r="H69" s="201">
        <f t="shared" si="3"/>
        <v>0.46</v>
      </c>
      <c r="I69" s="202"/>
      <c r="J69" s="203">
        <v>0.46</v>
      </c>
      <c r="K69" s="62"/>
      <c r="L69" s="63"/>
      <c r="M69" s="64"/>
      <c r="N69" s="57"/>
      <c r="O69" s="55"/>
      <c r="P69" s="57"/>
      <c r="Q69" s="57"/>
      <c r="R69" s="57"/>
      <c r="S69" s="57"/>
      <c r="T69" s="57"/>
      <c r="U69" s="57"/>
      <c r="V69" s="57"/>
      <c r="W69" s="57"/>
      <c r="X69" s="65"/>
    </row>
    <row r="70" spans="1:24" ht="15">
      <c r="A70" s="398"/>
      <c r="B70" s="204"/>
      <c r="C70" s="205" t="s">
        <v>55</v>
      </c>
      <c r="D70" s="206"/>
      <c r="E70" s="207"/>
      <c r="F70" s="205"/>
      <c r="G70" s="208"/>
      <c r="H70" s="209">
        <f t="shared" si="3"/>
        <v>1</v>
      </c>
      <c r="I70" s="210"/>
      <c r="J70" s="211">
        <v>1</v>
      </c>
      <c r="K70" s="70"/>
      <c r="L70" s="71"/>
      <c r="M70" s="72"/>
      <c r="N70" s="68"/>
      <c r="O70" s="66"/>
      <c r="P70" s="68"/>
      <c r="Q70" s="68"/>
      <c r="R70" s="68"/>
      <c r="S70" s="68"/>
      <c r="T70" s="68"/>
      <c r="U70" s="68"/>
      <c r="V70" s="68"/>
      <c r="W70" s="68"/>
      <c r="X70" s="73"/>
    </row>
    <row r="71" spans="1:24" ht="13.5" thickBot="1">
      <c r="A71" s="399"/>
      <c r="B71" s="212"/>
      <c r="C71" s="213" t="s">
        <v>56</v>
      </c>
      <c r="D71" s="214"/>
      <c r="E71" s="215"/>
      <c r="F71" s="213"/>
      <c r="G71" s="216"/>
      <c r="H71" s="217">
        <f t="shared" si="3"/>
        <v>136.815</v>
      </c>
      <c r="I71" s="218"/>
      <c r="J71" s="219">
        <v>136.815</v>
      </c>
      <c r="K71" s="78"/>
      <c r="L71" s="79"/>
      <c r="M71" s="80"/>
      <c r="N71" s="76"/>
      <c r="O71" s="74"/>
      <c r="P71" s="76"/>
      <c r="Q71" s="76"/>
      <c r="R71" s="76"/>
      <c r="S71" s="76"/>
      <c r="T71" s="76"/>
      <c r="U71" s="76"/>
      <c r="V71" s="76"/>
      <c r="W71" s="76"/>
      <c r="X71" s="81"/>
    </row>
    <row r="72" spans="1:24" ht="15">
      <c r="A72" s="397" t="s">
        <v>92</v>
      </c>
      <c r="B72" s="196" t="s">
        <v>94</v>
      </c>
      <c r="C72" s="197" t="s">
        <v>54</v>
      </c>
      <c r="D72" s="198"/>
      <c r="E72" s="199"/>
      <c r="F72" s="197"/>
      <c r="G72" s="200"/>
      <c r="H72" s="201">
        <f t="shared" si="3"/>
        <v>0.349</v>
      </c>
      <c r="I72" s="202"/>
      <c r="J72" s="203">
        <v>0.349</v>
      </c>
      <c r="K72" s="62"/>
      <c r="L72" s="63"/>
      <c r="M72" s="64"/>
      <c r="N72" s="57"/>
      <c r="O72" s="55"/>
      <c r="P72" s="57"/>
      <c r="Q72" s="57"/>
      <c r="R72" s="57"/>
      <c r="S72" s="57"/>
      <c r="T72" s="57"/>
      <c r="U72" s="57"/>
      <c r="V72" s="57"/>
      <c r="W72" s="57"/>
      <c r="X72" s="65"/>
    </row>
    <row r="73" spans="1:24" ht="15">
      <c r="A73" s="398"/>
      <c r="B73" s="204"/>
      <c r="C73" s="205" t="s">
        <v>55</v>
      </c>
      <c r="D73" s="206"/>
      <c r="E73" s="207"/>
      <c r="F73" s="205"/>
      <c r="G73" s="208"/>
      <c r="H73" s="209">
        <f t="shared" si="3"/>
        <v>1</v>
      </c>
      <c r="I73" s="210"/>
      <c r="J73" s="211">
        <v>1</v>
      </c>
      <c r="K73" s="70"/>
      <c r="L73" s="71"/>
      <c r="M73" s="72"/>
      <c r="N73" s="68"/>
      <c r="O73" s="66"/>
      <c r="P73" s="68"/>
      <c r="Q73" s="68"/>
      <c r="R73" s="68"/>
      <c r="S73" s="68"/>
      <c r="T73" s="68"/>
      <c r="U73" s="68"/>
      <c r="V73" s="68"/>
      <c r="W73" s="68"/>
      <c r="X73" s="73"/>
    </row>
    <row r="74" spans="1:24" ht="13.5" thickBot="1">
      <c r="A74" s="399"/>
      <c r="B74" s="212"/>
      <c r="C74" s="213" t="s">
        <v>56</v>
      </c>
      <c r="D74" s="214"/>
      <c r="E74" s="215"/>
      <c r="F74" s="213"/>
      <c r="G74" s="216"/>
      <c r="H74" s="217">
        <f t="shared" si="3"/>
        <v>112.939</v>
      </c>
      <c r="I74" s="218"/>
      <c r="J74" s="219">
        <v>112.939</v>
      </c>
      <c r="K74" s="78"/>
      <c r="L74" s="79"/>
      <c r="M74" s="80"/>
      <c r="N74" s="76"/>
      <c r="O74" s="74"/>
      <c r="P74" s="76"/>
      <c r="Q74" s="76"/>
      <c r="R74" s="76"/>
      <c r="S74" s="76"/>
      <c r="T74" s="76"/>
      <c r="U74" s="76"/>
      <c r="V74" s="76"/>
      <c r="W74" s="76"/>
      <c r="X74" s="81"/>
    </row>
    <row r="75" spans="1:24" ht="15">
      <c r="A75" s="397" t="s">
        <v>95</v>
      </c>
      <c r="B75" s="196" t="s">
        <v>96</v>
      </c>
      <c r="C75" s="197" t="s">
        <v>54</v>
      </c>
      <c r="D75" s="198"/>
      <c r="E75" s="199"/>
      <c r="F75" s="197"/>
      <c r="G75" s="200"/>
      <c r="H75" s="201">
        <f t="shared" si="3"/>
        <v>0.381</v>
      </c>
      <c r="I75" s="202"/>
      <c r="J75" s="203">
        <v>0.381</v>
      </c>
      <c r="K75" s="62"/>
      <c r="L75" s="63"/>
      <c r="M75" s="64"/>
      <c r="N75" s="57"/>
      <c r="O75" s="55"/>
      <c r="P75" s="57"/>
      <c r="Q75" s="57"/>
      <c r="R75" s="57"/>
      <c r="S75" s="57"/>
      <c r="T75" s="57"/>
      <c r="U75" s="57"/>
      <c r="V75" s="57"/>
      <c r="W75" s="57"/>
      <c r="X75" s="65"/>
    </row>
    <row r="76" spans="1:24" ht="15">
      <c r="A76" s="398"/>
      <c r="B76" s="204"/>
      <c r="C76" s="205" t="s">
        <v>55</v>
      </c>
      <c r="D76" s="206"/>
      <c r="E76" s="207"/>
      <c r="F76" s="205"/>
      <c r="G76" s="208"/>
      <c r="H76" s="209">
        <f t="shared" si="3"/>
        <v>1</v>
      </c>
      <c r="I76" s="210"/>
      <c r="J76" s="211">
        <v>1</v>
      </c>
      <c r="K76" s="70"/>
      <c r="L76" s="71"/>
      <c r="M76" s="72"/>
      <c r="N76" s="68"/>
      <c r="O76" s="66"/>
      <c r="P76" s="68"/>
      <c r="Q76" s="68"/>
      <c r="R76" s="68"/>
      <c r="S76" s="68"/>
      <c r="T76" s="68"/>
      <c r="U76" s="68"/>
      <c r="V76" s="68"/>
      <c r="W76" s="68"/>
      <c r="X76" s="73"/>
    </row>
    <row r="77" spans="1:24" ht="13.5" thickBot="1">
      <c r="A77" s="399"/>
      <c r="B77" s="212"/>
      <c r="C77" s="213" t="s">
        <v>56</v>
      </c>
      <c r="D77" s="214"/>
      <c r="E77" s="215"/>
      <c r="F77" s="213"/>
      <c r="G77" s="216"/>
      <c r="H77" s="224">
        <f t="shared" si="3"/>
        <v>111.35</v>
      </c>
      <c r="I77" s="228"/>
      <c r="J77" s="226">
        <v>111.35</v>
      </c>
      <c r="K77" s="78"/>
      <c r="L77" s="79"/>
      <c r="M77" s="80"/>
      <c r="N77" s="76"/>
      <c r="O77" s="74"/>
      <c r="P77" s="76"/>
      <c r="Q77" s="76"/>
      <c r="R77" s="76"/>
      <c r="S77" s="76"/>
      <c r="T77" s="76"/>
      <c r="U77" s="76"/>
      <c r="V77" s="76"/>
      <c r="W77" s="76"/>
      <c r="X77" s="81"/>
    </row>
    <row r="78" spans="1:24" ht="15">
      <c r="A78" s="97"/>
      <c r="B78" s="196" t="s">
        <v>97</v>
      </c>
      <c r="C78" s="197" t="s">
        <v>54</v>
      </c>
      <c r="D78" s="317"/>
      <c r="E78" s="318"/>
      <c r="F78" s="319"/>
      <c r="G78" s="320"/>
      <c r="H78" s="321">
        <v>0.346</v>
      </c>
      <c r="I78" s="202"/>
      <c r="J78" s="203">
        <v>0.346</v>
      </c>
      <c r="K78" s="102"/>
      <c r="L78" s="100"/>
      <c r="M78" s="99"/>
      <c r="N78" s="103"/>
      <c r="O78" s="104"/>
      <c r="P78" s="103"/>
      <c r="Q78" s="103"/>
      <c r="R78" s="103"/>
      <c r="S78" s="103"/>
      <c r="T78" s="103"/>
      <c r="U78" s="103"/>
      <c r="V78" s="103"/>
      <c r="W78" s="103"/>
      <c r="X78" s="105"/>
    </row>
    <row r="79" spans="1:24" ht="15">
      <c r="A79" s="97"/>
      <c r="B79" s="204"/>
      <c r="C79" s="205" t="s">
        <v>55</v>
      </c>
      <c r="D79" s="317"/>
      <c r="E79" s="318"/>
      <c r="F79" s="319"/>
      <c r="G79" s="320"/>
      <c r="H79" s="322">
        <v>1</v>
      </c>
      <c r="I79" s="210"/>
      <c r="J79" s="211">
        <v>1</v>
      </c>
      <c r="K79" s="102"/>
      <c r="L79" s="100"/>
      <c r="M79" s="99"/>
      <c r="N79" s="103"/>
      <c r="O79" s="104"/>
      <c r="P79" s="103"/>
      <c r="Q79" s="103"/>
      <c r="R79" s="103"/>
      <c r="S79" s="103"/>
      <c r="T79" s="103"/>
      <c r="U79" s="103"/>
      <c r="V79" s="103"/>
      <c r="W79" s="103"/>
      <c r="X79" s="105"/>
    </row>
    <row r="80" spans="1:24" ht="13.5" thickBot="1">
      <c r="A80" s="97"/>
      <c r="B80" s="212"/>
      <c r="C80" s="213" t="s">
        <v>56</v>
      </c>
      <c r="D80" s="317"/>
      <c r="E80" s="318"/>
      <c r="F80" s="319"/>
      <c r="G80" s="320"/>
      <c r="H80" s="323">
        <v>92.9</v>
      </c>
      <c r="I80" s="218"/>
      <c r="J80" s="219">
        <v>116.351</v>
      </c>
      <c r="K80" s="102"/>
      <c r="L80" s="100"/>
      <c r="M80" s="99"/>
      <c r="N80" s="103"/>
      <c r="O80" s="104"/>
      <c r="P80" s="103"/>
      <c r="Q80" s="103"/>
      <c r="R80" s="103"/>
      <c r="S80" s="103"/>
      <c r="T80" s="103"/>
      <c r="U80" s="103"/>
      <c r="V80" s="103"/>
      <c r="W80" s="103"/>
      <c r="X80" s="105"/>
    </row>
    <row r="81" spans="1:24" ht="15">
      <c r="A81" s="420" t="s">
        <v>95</v>
      </c>
      <c r="B81" s="273" t="s">
        <v>98</v>
      </c>
      <c r="C81" s="197" t="s">
        <v>54</v>
      </c>
      <c r="D81" s="198"/>
      <c r="E81" s="199"/>
      <c r="F81" s="197"/>
      <c r="G81" s="200"/>
      <c r="H81" s="201">
        <f t="shared" si="3"/>
        <v>0.334</v>
      </c>
      <c r="I81" s="202"/>
      <c r="J81" s="203">
        <v>0.334</v>
      </c>
      <c r="K81" s="62"/>
      <c r="L81" s="63"/>
      <c r="M81" s="64"/>
      <c r="N81" s="57"/>
      <c r="O81" s="55"/>
      <c r="P81" s="57"/>
      <c r="Q81" s="57"/>
      <c r="R81" s="57"/>
      <c r="S81" s="57"/>
      <c r="T81" s="57"/>
      <c r="U81" s="57"/>
      <c r="V81" s="57"/>
      <c r="W81" s="57"/>
      <c r="X81" s="65"/>
    </row>
    <row r="82" spans="1:24" ht="15">
      <c r="A82" s="421"/>
      <c r="B82" s="275"/>
      <c r="C82" s="205" t="s">
        <v>55</v>
      </c>
      <c r="D82" s="206"/>
      <c r="E82" s="207"/>
      <c r="F82" s="205"/>
      <c r="G82" s="208"/>
      <c r="H82" s="209">
        <f t="shared" si="3"/>
        <v>1</v>
      </c>
      <c r="I82" s="210"/>
      <c r="J82" s="211">
        <v>1</v>
      </c>
      <c r="K82" s="70"/>
      <c r="L82" s="71"/>
      <c r="M82" s="72"/>
      <c r="N82" s="68"/>
      <c r="O82" s="66"/>
      <c r="P82" s="68"/>
      <c r="Q82" s="68"/>
      <c r="R82" s="68"/>
      <c r="S82" s="68"/>
      <c r="T82" s="68"/>
      <c r="U82" s="68"/>
      <c r="V82" s="68"/>
      <c r="W82" s="68"/>
      <c r="X82" s="73"/>
    </row>
    <row r="83" spans="1:24" ht="13.5" thickBot="1">
      <c r="A83" s="422"/>
      <c r="B83" s="276"/>
      <c r="C83" s="213" t="s">
        <v>56</v>
      </c>
      <c r="D83" s="214"/>
      <c r="E83" s="215"/>
      <c r="F83" s="213"/>
      <c r="G83" s="216"/>
      <c r="H83" s="217">
        <f t="shared" si="3"/>
        <v>102.459</v>
      </c>
      <c r="I83" s="218"/>
      <c r="J83" s="219">
        <v>102.459</v>
      </c>
      <c r="K83" s="78"/>
      <c r="L83" s="79"/>
      <c r="M83" s="80"/>
      <c r="N83" s="76"/>
      <c r="O83" s="74"/>
      <c r="P83" s="76"/>
      <c r="Q83" s="76"/>
      <c r="R83" s="76"/>
      <c r="S83" s="76"/>
      <c r="T83" s="76"/>
      <c r="U83" s="76"/>
      <c r="V83" s="76"/>
      <c r="W83" s="76"/>
      <c r="X83" s="81"/>
    </row>
    <row r="84" spans="1:24" ht="15">
      <c r="A84" s="397" t="s">
        <v>99</v>
      </c>
      <c r="B84" s="196" t="s">
        <v>100</v>
      </c>
      <c r="C84" s="197" t="s">
        <v>54</v>
      </c>
      <c r="D84" s="198"/>
      <c r="E84" s="199"/>
      <c r="F84" s="197"/>
      <c r="G84" s="200"/>
      <c r="H84" s="220">
        <f t="shared" si="3"/>
        <v>1.3279999999999998</v>
      </c>
      <c r="I84" s="227"/>
      <c r="J84" s="222">
        <v>1.3279999999999998</v>
      </c>
      <c r="K84" s="62"/>
      <c r="L84" s="63"/>
      <c r="M84" s="64"/>
      <c r="N84" s="57"/>
      <c r="O84" s="55"/>
      <c r="P84" s="57"/>
      <c r="Q84" s="57"/>
      <c r="R84" s="57"/>
      <c r="S84" s="57"/>
      <c r="T84" s="57"/>
      <c r="U84" s="57"/>
      <c r="V84" s="57"/>
      <c r="W84" s="57"/>
      <c r="X84" s="65"/>
    </row>
    <row r="85" spans="1:24" ht="15">
      <c r="A85" s="398"/>
      <c r="B85" s="204"/>
      <c r="C85" s="205" t="s">
        <v>55</v>
      </c>
      <c r="D85" s="206"/>
      <c r="E85" s="207"/>
      <c r="F85" s="205"/>
      <c r="G85" s="208"/>
      <c r="H85" s="209">
        <f t="shared" si="3"/>
        <v>2</v>
      </c>
      <c r="I85" s="210"/>
      <c r="J85" s="211">
        <v>2</v>
      </c>
      <c r="K85" s="70"/>
      <c r="L85" s="71"/>
      <c r="M85" s="72"/>
      <c r="N85" s="68"/>
      <c r="O85" s="66"/>
      <c r="P85" s="68"/>
      <c r="Q85" s="68"/>
      <c r="R85" s="68"/>
      <c r="S85" s="68"/>
      <c r="T85" s="68"/>
      <c r="U85" s="68"/>
      <c r="V85" s="68"/>
      <c r="W85" s="68"/>
      <c r="X85" s="73"/>
    </row>
    <row r="86" spans="1:24" ht="13.5" thickBot="1">
      <c r="A86" s="399"/>
      <c r="B86" s="212"/>
      <c r="C86" s="213" t="s">
        <v>56</v>
      </c>
      <c r="D86" s="214"/>
      <c r="E86" s="215"/>
      <c r="F86" s="213"/>
      <c r="G86" s="216"/>
      <c r="H86" s="224">
        <f t="shared" si="3"/>
        <v>363.71500000000003</v>
      </c>
      <c r="I86" s="228"/>
      <c r="J86" s="226">
        <v>363.71500000000003</v>
      </c>
      <c r="K86" s="78"/>
      <c r="L86" s="79"/>
      <c r="M86" s="80"/>
      <c r="N86" s="76"/>
      <c r="O86" s="74"/>
      <c r="P86" s="76"/>
      <c r="Q86" s="76"/>
      <c r="R86" s="76"/>
      <c r="S86" s="76"/>
      <c r="T86" s="76"/>
      <c r="U86" s="76"/>
      <c r="V86" s="76"/>
      <c r="W86" s="76"/>
      <c r="X86" s="81"/>
    </row>
    <row r="87" spans="1:24" ht="15">
      <c r="A87" s="397" t="s">
        <v>101</v>
      </c>
      <c r="B87" s="155" t="s">
        <v>102</v>
      </c>
      <c r="C87" s="156" t="s">
        <v>54</v>
      </c>
      <c r="D87" s="157"/>
      <c r="E87" s="158"/>
      <c r="F87" s="156"/>
      <c r="G87" s="159"/>
      <c r="H87" s="179">
        <f t="shared" si="3"/>
        <v>0.802</v>
      </c>
      <c r="I87" s="180"/>
      <c r="J87" s="181">
        <v>0.802</v>
      </c>
      <c r="K87" s="62"/>
      <c r="L87" s="63"/>
      <c r="M87" s="64"/>
      <c r="N87" s="57"/>
      <c r="O87" s="55"/>
      <c r="P87" s="57"/>
      <c r="Q87" s="57"/>
      <c r="R87" s="57"/>
      <c r="S87" s="57"/>
      <c r="T87" s="57"/>
      <c r="U87" s="57"/>
      <c r="V87" s="57"/>
      <c r="W87" s="57"/>
      <c r="X87" s="65"/>
    </row>
    <row r="88" spans="1:24" ht="15">
      <c r="A88" s="398"/>
      <c r="B88" s="163"/>
      <c r="C88" s="164" t="s">
        <v>55</v>
      </c>
      <c r="D88" s="165"/>
      <c r="E88" s="166"/>
      <c r="F88" s="164"/>
      <c r="G88" s="167"/>
      <c r="H88" s="168">
        <f t="shared" si="3"/>
        <v>2</v>
      </c>
      <c r="I88" s="169"/>
      <c r="J88" s="170">
        <v>2</v>
      </c>
      <c r="K88" s="70"/>
      <c r="L88" s="71"/>
      <c r="M88" s="72"/>
      <c r="N88" s="68"/>
      <c r="O88" s="66"/>
      <c r="P88" s="68"/>
      <c r="Q88" s="68"/>
      <c r="R88" s="68"/>
      <c r="S88" s="68"/>
      <c r="T88" s="68"/>
      <c r="U88" s="68"/>
      <c r="V88" s="68"/>
      <c r="W88" s="68"/>
      <c r="X88" s="73"/>
    </row>
    <row r="89" spans="1:24" ht="13.5" thickBot="1">
      <c r="A89" s="399"/>
      <c r="B89" s="171"/>
      <c r="C89" s="172" t="s">
        <v>56</v>
      </c>
      <c r="D89" s="173"/>
      <c r="E89" s="174"/>
      <c r="F89" s="172"/>
      <c r="G89" s="175"/>
      <c r="H89" s="176">
        <f aca="true" t="shared" si="4" ref="H89:H155">I89+J89</f>
        <v>267.411</v>
      </c>
      <c r="I89" s="177"/>
      <c r="J89" s="178">
        <v>267.411</v>
      </c>
      <c r="K89" s="78"/>
      <c r="L89" s="79"/>
      <c r="M89" s="80"/>
      <c r="N89" s="76"/>
      <c r="O89" s="74"/>
      <c r="P89" s="76"/>
      <c r="Q89" s="76"/>
      <c r="R89" s="76"/>
      <c r="S89" s="76"/>
      <c r="T89" s="76"/>
      <c r="U89" s="76"/>
      <c r="V89" s="76"/>
      <c r="W89" s="76"/>
      <c r="X89" s="81"/>
    </row>
    <row r="90" spans="1:24" ht="15">
      <c r="A90" s="97"/>
      <c r="B90" s="86" t="s">
        <v>103</v>
      </c>
      <c r="C90" s="63" t="s">
        <v>54</v>
      </c>
      <c r="D90" s="98"/>
      <c r="E90" s="99"/>
      <c r="F90" s="100"/>
      <c r="G90" s="101"/>
      <c r="H90" s="106">
        <v>0.737</v>
      </c>
      <c r="I90" s="82"/>
      <c r="J90" s="95">
        <v>0.737</v>
      </c>
      <c r="K90" s="102"/>
      <c r="L90" s="100"/>
      <c r="M90" s="99"/>
      <c r="N90" s="103"/>
      <c r="O90" s="104"/>
      <c r="P90" s="103"/>
      <c r="Q90" s="103"/>
      <c r="R90" s="103"/>
      <c r="S90" s="103"/>
      <c r="T90" s="103"/>
      <c r="U90" s="103"/>
      <c r="V90" s="103"/>
      <c r="W90" s="103"/>
      <c r="X90" s="105"/>
    </row>
    <row r="91" spans="1:24" ht="15">
      <c r="A91" s="97"/>
      <c r="B91" s="88"/>
      <c r="C91" s="71" t="s">
        <v>55</v>
      </c>
      <c r="D91" s="98"/>
      <c r="E91" s="99"/>
      <c r="F91" s="100"/>
      <c r="G91" s="101"/>
      <c r="H91" s="107">
        <v>1</v>
      </c>
      <c r="I91" s="83"/>
      <c r="J91" s="85">
        <v>1</v>
      </c>
      <c r="K91" s="102"/>
      <c r="L91" s="100"/>
      <c r="M91" s="99"/>
      <c r="N91" s="103"/>
      <c r="O91" s="104"/>
      <c r="P91" s="103"/>
      <c r="Q91" s="103"/>
      <c r="R91" s="103"/>
      <c r="S91" s="103"/>
      <c r="T91" s="103"/>
      <c r="U91" s="103"/>
      <c r="V91" s="103"/>
      <c r="W91" s="103"/>
      <c r="X91" s="105"/>
    </row>
    <row r="92" spans="1:24" ht="13.5" thickBot="1">
      <c r="A92" s="97"/>
      <c r="B92" s="91"/>
      <c r="C92" s="79" t="s">
        <v>56</v>
      </c>
      <c r="D92" s="98"/>
      <c r="E92" s="99"/>
      <c r="F92" s="100"/>
      <c r="G92" s="101"/>
      <c r="H92" s="108">
        <v>167.969</v>
      </c>
      <c r="I92" s="84"/>
      <c r="J92" s="96">
        <v>210.178</v>
      </c>
      <c r="K92" s="102"/>
      <c r="L92" s="100"/>
      <c r="M92" s="99"/>
      <c r="N92" s="103"/>
      <c r="O92" s="104"/>
      <c r="P92" s="103"/>
      <c r="Q92" s="103"/>
      <c r="R92" s="103"/>
      <c r="S92" s="103"/>
      <c r="T92" s="103"/>
      <c r="U92" s="103"/>
      <c r="V92" s="103"/>
      <c r="W92" s="103"/>
      <c r="X92" s="105"/>
    </row>
    <row r="93" spans="1:24" ht="15">
      <c r="A93" s="397" t="s">
        <v>104</v>
      </c>
      <c r="B93" s="155" t="s">
        <v>105</v>
      </c>
      <c r="C93" s="156" t="s">
        <v>54</v>
      </c>
      <c r="D93" s="157"/>
      <c r="E93" s="158"/>
      <c r="F93" s="156"/>
      <c r="G93" s="159"/>
      <c r="H93" s="160">
        <f t="shared" si="4"/>
        <v>2.633</v>
      </c>
      <c r="I93" s="161"/>
      <c r="J93" s="162">
        <v>2.633</v>
      </c>
      <c r="K93" s="62"/>
      <c r="L93" s="63"/>
      <c r="M93" s="64"/>
      <c r="N93" s="57"/>
      <c r="O93" s="55"/>
      <c r="P93" s="57"/>
      <c r="Q93" s="57"/>
      <c r="R93" s="57"/>
      <c r="S93" s="57"/>
      <c r="T93" s="57"/>
      <c r="U93" s="57"/>
      <c r="V93" s="57"/>
      <c r="W93" s="57"/>
      <c r="X93" s="65"/>
    </row>
    <row r="94" spans="1:24" ht="15">
      <c r="A94" s="398"/>
      <c r="B94" s="163"/>
      <c r="C94" s="164" t="s">
        <v>55</v>
      </c>
      <c r="D94" s="165"/>
      <c r="E94" s="166"/>
      <c r="F94" s="164"/>
      <c r="G94" s="167"/>
      <c r="H94" s="168">
        <f t="shared" si="4"/>
        <v>3</v>
      </c>
      <c r="I94" s="169"/>
      <c r="J94" s="170">
        <v>3</v>
      </c>
      <c r="K94" s="70"/>
      <c r="L94" s="71"/>
      <c r="M94" s="72"/>
      <c r="N94" s="68"/>
      <c r="O94" s="66"/>
      <c r="P94" s="68"/>
      <c r="Q94" s="68"/>
      <c r="R94" s="68"/>
      <c r="S94" s="68"/>
      <c r="T94" s="68"/>
      <c r="U94" s="68"/>
      <c r="V94" s="68"/>
      <c r="W94" s="68"/>
      <c r="X94" s="73"/>
    </row>
    <row r="95" spans="1:24" ht="13.5" thickBot="1">
      <c r="A95" s="399"/>
      <c r="B95" s="171"/>
      <c r="C95" s="172" t="s">
        <v>56</v>
      </c>
      <c r="D95" s="173"/>
      <c r="E95" s="174"/>
      <c r="F95" s="172"/>
      <c r="G95" s="175"/>
      <c r="H95" s="176">
        <f t="shared" si="4"/>
        <v>589.145</v>
      </c>
      <c r="I95" s="177"/>
      <c r="J95" s="178">
        <v>589.145</v>
      </c>
      <c r="K95" s="78"/>
      <c r="L95" s="79"/>
      <c r="M95" s="80"/>
      <c r="N95" s="76"/>
      <c r="O95" s="74"/>
      <c r="P95" s="76"/>
      <c r="Q95" s="76"/>
      <c r="R95" s="76"/>
      <c r="S95" s="76"/>
      <c r="T95" s="76"/>
      <c r="U95" s="76"/>
      <c r="V95" s="76"/>
      <c r="W95" s="76"/>
      <c r="X95" s="81"/>
    </row>
    <row r="96" spans="1:24" ht="15">
      <c r="A96" s="397" t="s">
        <v>106</v>
      </c>
      <c r="B96" s="196" t="s">
        <v>107</v>
      </c>
      <c r="C96" s="197" t="s">
        <v>54</v>
      </c>
      <c r="D96" s="198"/>
      <c r="E96" s="199"/>
      <c r="F96" s="197"/>
      <c r="G96" s="200"/>
      <c r="H96" s="201">
        <f t="shared" si="4"/>
        <v>1.119</v>
      </c>
      <c r="I96" s="202"/>
      <c r="J96" s="203">
        <v>1.119</v>
      </c>
      <c r="K96" s="62"/>
      <c r="L96" s="63"/>
      <c r="M96" s="64"/>
      <c r="N96" s="57"/>
      <c r="O96" s="55"/>
      <c r="P96" s="57"/>
      <c r="Q96" s="57"/>
      <c r="R96" s="57"/>
      <c r="S96" s="57"/>
      <c r="T96" s="57"/>
      <c r="U96" s="57"/>
      <c r="V96" s="57"/>
      <c r="W96" s="57"/>
      <c r="X96" s="65"/>
    </row>
    <row r="97" spans="1:24" ht="15">
      <c r="A97" s="398"/>
      <c r="B97" s="204"/>
      <c r="C97" s="205" t="s">
        <v>55</v>
      </c>
      <c r="D97" s="206"/>
      <c r="E97" s="207"/>
      <c r="F97" s="205"/>
      <c r="G97" s="208"/>
      <c r="H97" s="209">
        <f t="shared" si="4"/>
        <v>2</v>
      </c>
      <c r="I97" s="210"/>
      <c r="J97" s="211">
        <v>2</v>
      </c>
      <c r="K97" s="70"/>
      <c r="L97" s="71"/>
      <c r="M97" s="72"/>
      <c r="N97" s="68"/>
      <c r="O97" s="66"/>
      <c r="P97" s="68"/>
      <c r="Q97" s="68"/>
      <c r="R97" s="68"/>
      <c r="S97" s="68"/>
      <c r="T97" s="68"/>
      <c r="U97" s="68"/>
      <c r="V97" s="68"/>
      <c r="W97" s="68"/>
      <c r="X97" s="73"/>
    </row>
    <row r="98" spans="1:24" ht="13.5" thickBot="1">
      <c r="A98" s="399"/>
      <c r="B98" s="212"/>
      <c r="C98" s="213" t="s">
        <v>56</v>
      </c>
      <c r="D98" s="214"/>
      <c r="E98" s="215"/>
      <c r="F98" s="213"/>
      <c r="G98" s="216"/>
      <c r="H98" s="217">
        <f t="shared" si="4"/>
        <v>322.31600000000003</v>
      </c>
      <c r="I98" s="218"/>
      <c r="J98" s="219">
        <v>322.31600000000003</v>
      </c>
      <c r="K98" s="78"/>
      <c r="L98" s="79"/>
      <c r="M98" s="80"/>
      <c r="N98" s="76"/>
      <c r="O98" s="74"/>
      <c r="P98" s="76"/>
      <c r="Q98" s="76"/>
      <c r="R98" s="76"/>
      <c r="S98" s="76"/>
      <c r="T98" s="76"/>
      <c r="U98" s="76"/>
      <c r="V98" s="76"/>
      <c r="W98" s="76"/>
      <c r="X98" s="81"/>
    </row>
    <row r="99" spans="1:24" ht="15">
      <c r="A99" s="397" t="s">
        <v>108</v>
      </c>
      <c r="B99" s="196" t="s">
        <v>109</v>
      </c>
      <c r="C99" s="197" t="s">
        <v>54</v>
      </c>
      <c r="D99" s="198"/>
      <c r="E99" s="199"/>
      <c r="F99" s="197"/>
      <c r="G99" s="200"/>
      <c r="H99" s="220">
        <f t="shared" si="4"/>
        <v>0.753</v>
      </c>
      <c r="I99" s="227"/>
      <c r="J99" s="222">
        <v>0.753</v>
      </c>
      <c r="K99" s="62"/>
      <c r="L99" s="63"/>
      <c r="M99" s="64"/>
      <c r="N99" s="57"/>
      <c r="O99" s="55"/>
      <c r="P99" s="57"/>
      <c r="Q99" s="57"/>
      <c r="R99" s="57"/>
      <c r="S99" s="57"/>
      <c r="T99" s="57"/>
      <c r="U99" s="57"/>
      <c r="V99" s="57"/>
      <c r="W99" s="57"/>
      <c r="X99" s="65"/>
    </row>
    <row r="100" spans="1:24" ht="15">
      <c r="A100" s="398"/>
      <c r="B100" s="204"/>
      <c r="C100" s="205" t="s">
        <v>55</v>
      </c>
      <c r="D100" s="206"/>
      <c r="E100" s="207"/>
      <c r="F100" s="205"/>
      <c r="G100" s="208"/>
      <c r="H100" s="209">
        <f t="shared" si="4"/>
        <v>2</v>
      </c>
      <c r="I100" s="210"/>
      <c r="J100" s="211">
        <v>2</v>
      </c>
      <c r="K100" s="70"/>
      <c r="L100" s="71"/>
      <c r="M100" s="72"/>
      <c r="N100" s="68"/>
      <c r="O100" s="66"/>
      <c r="P100" s="68"/>
      <c r="Q100" s="68"/>
      <c r="R100" s="68"/>
      <c r="S100" s="68"/>
      <c r="T100" s="68"/>
      <c r="U100" s="68"/>
      <c r="V100" s="68"/>
      <c r="W100" s="68"/>
      <c r="X100" s="73"/>
    </row>
    <row r="101" spans="1:24" ht="13.5" thickBot="1">
      <c r="A101" s="399"/>
      <c r="B101" s="212"/>
      <c r="C101" s="213" t="s">
        <v>56</v>
      </c>
      <c r="D101" s="214"/>
      <c r="E101" s="215"/>
      <c r="F101" s="213"/>
      <c r="G101" s="216"/>
      <c r="H101" s="224">
        <f t="shared" si="4"/>
        <v>243.037</v>
      </c>
      <c r="I101" s="228"/>
      <c r="J101" s="226">
        <v>243.037</v>
      </c>
      <c r="K101" s="78"/>
      <c r="L101" s="79"/>
      <c r="M101" s="80"/>
      <c r="N101" s="76"/>
      <c r="O101" s="74"/>
      <c r="P101" s="76"/>
      <c r="Q101" s="76"/>
      <c r="R101" s="76"/>
      <c r="S101" s="76"/>
      <c r="T101" s="76"/>
      <c r="U101" s="76"/>
      <c r="V101" s="76"/>
      <c r="W101" s="76"/>
      <c r="X101" s="81"/>
    </row>
    <row r="102" spans="1:24" ht="15">
      <c r="A102" s="397" t="s">
        <v>110</v>
      </c>
      <c r="B102" s="196" t="s">
        <v>111</v>
      </c>
      <c r="C102" s="197" t="s">
        <v>54</v>
      </c>
      <c r="D102" s="198"/>
      <c r="E102" s="199"/>
      <c r="F102" s="197"/>
      <c r="G102" s="200"/>
      <c r="H102" s="201">
        <f t="shared" si="4"/>
        <v>0.774</v>
      </c>
      <c r="I102" s="202"/>
      <c r="J102" s="203">
        <v>0.774</v>
      </c>
      <c r="K102" s="62"/>
      <c r="L102" s="63"/>
      <c r="M102" s="64"/>
      <c r="N102" s="57"/>
      <c r="O102" s="55"/>
      <c r="P102" s="57"/>
      <c r="Q102" s="57"/>
      <c r="R102" s="57"/>
      <c r="S102" s="57"/>
      <c r="T102" s="57"/>
      <c r="U102" s="57"/>
      <c r="V102" s="57"/>
      <c r="W102" s="57"/>
      <c r="X102" s="65"/>
    </row>
    <row r="103" spans="1:24" ht="15">
      <c r="A103" s="398"/>
      <c r="B103" s="204"/>
      <c r="C103" s="205" t="s">
        <v>55</v>
      </c>
      <c r="D103" s="206"/>
      <c r="E103" s="207"/>
      <c r="F103" s="205"/>
      <c r="G103" s="208"/>
      <c r="H103" s="209">
        <f t="shared" si="4"/>
        <v>2</v>
      </c>
      <c r="I103" s="210"/>
      <c r="J103" s="211">
        <v>2</v>
      </c>
      <c r="K103" s="70"/>
      <c r="L103" s="71"/>
      <c r="M103" s="72"/>
      <c r="N103" s="68"/>
      <c r="O103" s="66"/>
      <c r="P103" s="68"/>
      <c r="Q103" s="68"/>
      <c r="R103" s="68"/>
      <c r="S103" s="68"/>
      <c r="T103" s="68"/>
      <c r="U103" s="68"/>
      <c r="V103" s="68"/>
      <c r="W103" s="68"/>
      <c r="X103" s="73"/>
    </row>
    <row r="104" spans="1:24" ht="13.5" thickBot="1">
      <c r="A104" s="399"/>
      <c r="B104" s="212"/>
      <c r="C104" s="213" t="s">
        <v>56</v>
      </c>
      <c r="D104" s="214"/>
      <c r="E104" s="215"/>
      <c r="F104" s="213"/>
      <c r="G104" s="216"/>
      <c r="H104" s="217">
        <f t="shared" si="4"/>
        <v>263.481</v>
      </c>
      <c r="I104" s="218"/>
      <c r="J104" s="219">
        <v>263.481</v>
      </c>
      <c r="K104" s="78"/>
      <c r="L104" s="79"/>
      <c r="M104" s="80"/>
      <c r="N104" s="76"/>
      <c r="O104" s="74"/>
      <c r="P104" s="76"/>
      <c r="Q104" s="76"/>
      <c r="R104" s="76"/>
      <c r="S104" s="76"/>
      <c r="T104" s="76"/>
      <c r="U104" s="76"/>
      <c r="V104" s="76"/>
      <c r="W104" s="76"/>
      <c r="X104" s="81"/>
    </row>
    <row r="105" spans="1:24" ht="15">
      <c r="A105" s="397" t="s">
        <v>112</v>
      </c>
      <c r="B105" s="155" t="s">
        <v>113</v>
      </c>
      <c r="C105" s="156" t="s">
        <v>54</v>
      </c>
      <c r="D105" s="157"/>
      <c r="E105" s="158"/>
      <c r="F105" s="156"/>
      <c r="G105" s="159"/>
      <c r="H105" s="160">
        <f t="shared" si="4"/>
        <v>1.0779999999999998</v>
      </c>
      <c r="I105" s="161"/>
      <c r="J105" s="162">
        <v>1.0779999999999998</v>
      </c>
      <c r="K105" s="62"/>
      <c r="L105" s="63"/>
      <c r="M105" s="64"/>
      <c r="N105" s="57"/>
      <c r="O105" s="55"/>
      <c r="P105" s="57"/>
      <c r="Q105" s="57"/>
      <c r="R105" s="57"/>
      <c r="S105" s="57"/>
      <c r="T105" s="57"/>
      <c r="U105" s="57"/>
      <c r="V105" s="57"/>
      <c r="W105" s="57"/>
      <c r="X105" s="65"/>
    </row>
    <row r="106" spans="1:24" ht="15">
      <c r="A106" s="398"/>
      <c r="B106" s="163"/>
      <c r="C106" s="164" t="s">
        <v>55</v>
      </c>
      <c r="D106" s="165"/>
      <c r="E106" s="166"/>
      <c r="F106" s="164"/>
      <c r="G106" s="167"/>
      <c r="H106" s="168">
        <f t="shared" si="4"/>
        <v>2</v>
      </c>
      <c r="I106" s="169"/>
      <c r="J106" s="170">
        <v>2</v>
      </c>
      <c r="K106" s="70"/>
      <c r="L106" s="71"/>
      <c r="M106" s="72"/>
      <c r="N106" s="68"/>
      <c r="O106" s="66"/>
      <c r="P106" s="68"/>
      <c r="Q106" s="68"/>
      <c r="R106" s="68"/>
      <c r="S106" s="68"/>
      <c r="T106" s="68"/>
      <c r="U106" s="68"/>
      <c r="V106" s="68"/>
      <c r="W106" s="68"/>
      <c r="X106" s="73"/>
    </row>
    <row r="107" spans="1:24" ht="13.5" thickBot="1">
      <c r="A107" s="399"/>
      <c r="B107" s="171"/>
      <c r="C107" s="172" t="s">
        <v>56</v>
      </c>
      <c r="D107" s="173"/>
      <c r="E107" s="174"/>
      <c r="F107" s="172"/>
      <c r="G107" s="175"/>
      <c r="H107" s="176">
        <f t="shared" si="4"/>
        <v>322.504</v>
      </c>
      <c r="I107" s="177"/>
      <c r="J107" s="178">
        <v>322.504</v>
      </c>
      <c r="K107" s="78"/>
      <c r="L107" s="79"/>
      <c r="M107" s="80"/>
      <c r="N107" s="76"/>
      <c r="O107" s="74"/>
      <c r="P107" s="76"/>
      <c r="Q107" s="76"/>
      <c r="R107" s="76"/>
      <c r="S107" s="76"/>
      <c r="T107" s="76"/>
      <c r="U107" s="76"/>
      <c r="V107" s="76"/>
      <c r="W107" s="76"/>
      <c r="X107" s="81"/>
    </row>
    <row r="108" spans="1:24" ht="15">
      <c r="A108" s="397" t="s">
        <v>114</v>
      </c>
      <c r="B108" s="116" t="s">
        <v>115</v>
      </c>
      <c r="C108" s="117" t="s">
        <v>54</v>
      </c>
      <c r="D108" s="118"/>
      <c r="E108" s="119"/>
      <c r="F108" s="117"/>
      <c r="G108" s="120"/>
      <c r="H108" s="121">
        <f t="shared" si="4"/>
        <v>0.542</v>
      </c>
      <c r="I108" s="122">
        <f>0.271+0.271</f>
        <v>0.542</v>
      </c>
      <c r="J108" s="123"/>
      <c r="K108" s="62"/>
      <c r="L108" s="63"/>
      <c r="M108" s="64"/>
      <c r="N108" s="57"/>
      <c r="O108" s="55"/>
      <c r="P108" s="57"/>
      <c r="Q108" s="57"/>
      <c r="R108" s="57"/>
      <c r="S108" s="57"/>
      <c r="T108" s="57"/>
      <c r="U108" s="57"/>
      <c r="V108" s="57"/>
      <c r="W108" s="57"/>
      <c r="X108" s="65"/>
    </row>
    <row r="109" spans="1:24" ht="15">
      <c r="A109" s="398"/>
      <c r="B109" s="124"/>
      <c r="C109" s="125" t="s">
        <v>55</v>
      </c>
      <c r="D109" s="126"/>
      <c r="E109" s="127"/>
      <c r="F109" s="125"/>
      <c r="G109" s="128"/>
      <c r="H109" s="129">
        <f t="shared" si="4"/>
        <v>2</v>
      </c>
      <c r="I109" s="130">
        <v>2</v>
      </c>
      <c r="J109" s="131"/>
      <c r="K109" s="70"/>
      <c r="L109" s="71"/>
      <c r="M109" s="72"/>
      <c r="N109" s="68"/>
      <c r="O109" s="66"/>
      <c r="P109" s="68"/>
      <c r="Q109" s="68"/>
      <c r="R109" s="68"/>
      <c r="S109" s="68"/>
      <c r="T109" s="68"/>
      <c r="U109" s="68"/>
      <c r="V109" s="68"/>
      <c r="W109" s="68"/>
      <c r="X109" s="73"/>
    </row>
    <row r="110" spans="1:24" ht="13.5" thickBot="1">
      <c r="A110" s="399"/>
      <c r="B110" s="132"/>
      <c r="C110" s="133" t="s">
        <v>56</v>
      </c>
      <c r="D110" s="134"/>
      <c r="E110" s="135"/>
      <c r="F110" s="133"/>
      <c r="G110" s="136"/>
      <c r="H110" s="137">
        <f t="shared" si="4"/>
        <v>153.88400000000001</v>
      </c>
      <c r="I110" s="138">
        <f>74.519+79.365</f>
        <v>153.88400000000001</v>
      </c>
      <c r="J110" s="139"/>
      <c r="K110" s="78"/>
      <c r="L110" s="79"/>
      <c r="M110" s="80"/>
      <c r="N110" s="76"/>
      <c r="O110" s="74"/>
      <c r="P110" s="76"/>
      <c r="Q110" s="76"/>
      <c r="R110" s="76"/>
      <c r="S110" s="76"/>
      <c r="T110" s="76"/>
      <c r="U110" s="76"/>
      <c r="V110" s="76"/>
      <c r="W110" s="76"/>
      <c r="X110" s="81"/>
    </row>
    <row r="111" spans="1:24" ht="15">
      <c r="A111" s="397" t="s">
        <v>116</v>
      </c>
      <c r="B111" s="196" t="s">
        <v>117</v>
      </c>
      <c r="C111" s="197" t="s">
        <v>54</v>
      </c>
      <c r="D111" s="198"/>
      <c r="E111" s="199"/>
      <c r="F111" s="197"/>
      <c r="G111" s="200"/>
      <c r="H111" s="220">
        <f t="shared" si="4"/>
        <v>0.724</v>
      </c>
      <c r="I111" s="227"/>
      <c r="J111" s="222">
        <f>0.362+0.362</f>
        <v>0.724</v>
      </c>
      <c r="K111" s="62"/>
      <c r="L111" s="63"/>
      <c r="M111" s="64"/>
      <c r="N111" s="57"/>
      <c r="O111" s="55"/>
      <c r="P111" s="57"/>
      <c r="Q111" s="57"/>
      <c r="R111" s="57"/>
      <c r="S111" s="57"/>
      <c r="T111" s="57"/>
      <c r="U111" s="57"/>
      <c r="V111" s="57"/>
      <c r="W111" s="57"/>
      <c r="X111" s="65"/>
    </row>
    <row r="112" spans="1:24" ht="15">
      <c r="A112" s="398"/>
      <c r="B112" s="204"/>
      <c r="C112" s="205" t="s">
        <v>55</v>
      </c>
      <c r="D112" s="206"/>
      <c r="E112" s="207"/>
      <c r="F112" s="205"/>
      <c r="G112" s="208"/>
      <c r="H112" s="209">
        <f t="shared" si="4"/>
        <v>2</v>
      </c>
      <c r="I112" s="210"/>
      <c r="J112" s="211">
        <v>2</v>
      </c>
      <c r="K112" s="70"/>
      <c r="L112" s="71"/>
      <c r="M112" s="72"/>
      <c r="N112" s="68"/>
      <c r="O112" s="66"/>
      <c r="P112" s="68"/>
      <c r="Q112" s="68"/>
      <c r="R112" s="68"/>
      <c r="S112" s="68"/>
      <c r="T112" s="68"/>
      <c r="U112" s="68"/>
      <c r="V112" s="68"/>
      <c r="W112" s="68"/>
      <c r="X112" s="73"/>
    </row>
    <row r="113" spans="1:24" ht="13.5" thickBot="1">
      <c r="A113" s="399"/>
      <c r="B113" s="212"/>
      <c r="C113" s="213" t="s">
        <v>56</v>
      </c>
      <c r="D113" s="214"/>
      <c r="E113" s="215"/>
      <c r="F113" s="213"/>
      <c r="G113" s="216"/>
      <c r="H113" s="224">
        <f t="shared" si="4"/>
        <v>248.74099999999999</v>
      </c>
      <c r="I113" s="228"/>
      <c r="J113" s="226">
        <f>124.416+124.325</f>
        <v>248.74099999999999</v>
      </c>
      <c r="K113" s="78"/>
      <c r="L113" s="79"/>
      <c r="M113" s="80"/>
      <c r="N113" s="76"/>
      <c r="O113" s="74"/>
      <c r="P113" s="76"/>
      <c r="Q113" s="76"/>
      <c r="R113" s="76"/>
      <c r="S113" s="76"/>
      <c r="T113" s="76"/>
      <c r="U113" s="76"/>
      <c r="V113" s="76"/>
      <c r="W113" s="76"/>
      <c r="X113" s="81"/>
    </row>
    <row r="114" spans="1:24" ht="15">
      <c r="A114" s="397" t="s">
        <v>118</v>
      </c>
      <c r="B114" s="155" t="s">
        <v>119</v>
      </c>
      <c r="C114" s="156" t="s">
        <v>54</v>
      </c>
      <c r="D114" s="157"/>
      <c r="E114" s="158"/>
      <c r="F114" s="156"/>
      <c r="G114" s="159"/>
      <c r="H114" s="179">
        <f t="shared" si="4"/>
        <v>1.19</v>
      </c>
      <c r="I114" s="180"/>
      <c r="J114" s="181">
        <f>0.595+0.595</f>
        <v>1.19</v>
      </c>
      <c r="K114" s="62"/>
      <c r="L114" s="63"/>
      <c r="M114" s="64"/>
      <c r="N114" s="57"/>
      <c r="O114" s="55"/>
      <c r="P114" s="57"/>
      <c r="Q114" s="57"/>
      <c r="R114" s="57"/>
      <c r="S114" s="57"/>
      <c r="T114" s="57"/>
      <c r="U114" s="57"/>
      <c r="V114" s="57"/>
      <c r="W114" s="57"/>
      <c r="X114" s="65"/>
    </row>
    <row r="115" spans="1:24" ht="15">
      <c r="A115" s="398"/>
      <c r="B115" s="163"/>
      <c r="C115" s="164" t="s">
        <v>55</v>
      </c>
      <c r="D115" s="165"/>
      <c r="E115" s="166"/>
      <c r="F115" s="164"/>
      <c r="G115" s="167"/>
      <c r="H115" s="168">
        <f t="shared" si="4"/>
        <v>2</v>
      </c>
      <c r="I115" s="169"/>
      <c r="J115" s="170">
        <f>1+1</f>
        <v>2</v>
      </c>
      <c r="K115" s="70"/>
      <c r="L115" s="71"/>
      <c r="M115" s="72"/>
      <c r="N115" s="68"/>
      <c r="O115" s="66"/>
      <c r="P115" s="68"/>
      <c r="Q115" s="68"/>
      <c r="R115" s="68"/>
      <c r="S115" s="68"/>
      <c r="T115" s="68"/>
      <c r="U115" s="68"/>
      <c r="V115" s="68"/>
      <c r="W115" s="68"/>
      <c r="X115" s="73"/>
    </row>
    <row r="116" spans="1:24" ht="13.5" thickBot="1">
      <c r="A116" s="399"/>
      <c r="B116" s="171"/>
      <c r="C116" s="172" t="s">
        <v>56</v>
      </c>
      <c r="D116" s="173"/>
      <c r="E116" s="174"/>
      <c r="F116" s="172"/>
      <c r="G116" s="175"/>
      <c r="H116" s="182">
        <f t="shared" si="4"/>
        <v>326.653</v>
      </c>
      <c r="I116" s="183"/>
      <c r="J116" s="184">
        <f>170.254+156.399</f>
        <v>326.653</v>
      </c>
      <c r="K116" s="78"/>
      <c r="L116" s="79"/>
      <c r="M116" s="80"/>
      <c r="N116" s="76"/>
      <c r="O116" s="74"/>
      <c r="P116" s="76"/>
      <c r="Q116" s="76"/>
      <c r="R116" s="76"/>
      <c r="S116" s="76"/>
      <c r="T116" s="76"/>
      <c r="U116" s="76"/>
      <c r="V116" s="76"/>
      <c r="W116" s="76"/>
      <c r="X116" s="81"/>
    </row>
    <row r="117" spans="1:24" ht="15">
      <c r="A117" s="397" t="s">
        <v>120</v>
      </c>
      <c r="B117" s="155" t="s">
        <v>121</v>
      </c>
      <c r="C117" s="156" t="s">
        <v>54</v>
      </c>
      <c r="D117" s="157"/>
      <c r="E117" s="158"/>
      <c r="F117" s="156"/>
      <c r="G117" s="159"/>
      <c r="H117" s="160">
        <f t="shared" si="4"/>
        <v>1.3</v>
      </c>
      <c r="I117" s="161"/>
      <c r="J117" s="162">
        <v>1.3</v>
      </c>
      <c r="K117" s="62"/>
      <c r="L117" s="63"/>
      <c r="M117" s="64"/>
      <c r="N117" s="57"/>
      <c r="O117" s="55"/>
      <c r="P117" s="57"/>
      <c r="Q117" s="57"/>
      <c r="R117" s="57"/>
      <c r="S117" s="57"/>
      <c r="T117" s="57"/>
      <c r="U117" s="57"/>
      <c r="V117" s="57"/>
      <c r="W117" s="57"/>
      <c r="X117" s="65"/>
    </row>
    <row r="118" spans="1:24" ht="15">
      <c r="A118" s="398"/>
      <c r="B118" s="163"/>
      <c r="C118" s="164" t="s">
        <v>55</v>
      </c>
      <c r="D118" s="165"/>
      <c r="E118" s="166"/>
      <c r="F118" s="164"/>
      <c r="G118" s="167"/>
      <c r="H118" s="168">
        <f t="shared" si="4"/>
        <v>2</v>
      </c>
      <c r="I118" s="169"/>
      <c r="J118" s="170">
        <v>2</v>
      </c>
      <c r="K118" s="70"/>
      <c r="L118" s="71"/>
      <c r="M118" s="72"/>
      <c r="N118" s="68"/>
      <c r="O118" s="66"/>
      <c r="P118" s="68"/>
      <c r="Q118" s="68"/>
      <c r="R118" s="68"/>
      <c r="S118" s="68"/>
      <c r="T118" s="68"/>
      <c r="U118" s="68"/>
      <c r="V118" s="68"/>
      <c r="W118" s="68"/>
      <c r="X118" s="73"/>
    </row>
    <row r="119" spans="1:24" ht="13.5" thickBot="1">
      <c r="A119" s="399"/>
      <c r="B119" s="171"/>
      <c r="C119" s="172" t="s">
        <v>56</v>
      </c>
      <c r="D119" s="173"/>
      <c r="E119" s="174"/>
      <c r="F119" s="172"/>
      <c r="G119" s="175"/>
      <c r="H119" s="176">
        <f t="shared" si="4"/>
        <v>393.58299999999997</v>
      </c>
      <c r="I119" s="177"/>
      <c r="J119" s="178">
        <v>393.58299999999997</v>
      </c>
      <c r="K119" s="78"/>
      <c r="L119" s="79"/>
      <c r="M119" s="80"/>
      <c r="N119" s="76"/>
      <c r="O119" s="74"/>
      <c r="P119" s="76"/>
      <c r="Q119" s="76"/>
      <c r="R119" s="76"/>
      <c r="S119" s="76"/>
      <c r="T119" s="76"/>
      <c r="U119" s="76"/>
      <c r="V119" s="76"/>
      <c r="W119" s="76"/>
      <c r="X119" s="81"/>
    </row>
    <row r="120" spans="1:24" ht="15">
      <c r="A120" s="397" t="s">
        <v>122</v>
      </c>
      <c r="B120" s="155" t="s">
        <v>123</v>
      </c>
      <c r="C120" s="156" t="s">
        <v>54</v>
      </c>
      <c r="D120" s="157"/>
      <c r="E120" s="158"/>
      <c r="F120" s="156"/>
      <c r="G120" s="159"/>
      <c r="H120" s="179">
        <f t="shared" si="4"/>
        <v>0.355</v>
      </c>
      <c r="I120" s="180"/>
      <c r="J120" s="181">
        <v>0.355</v>
      </c>
      <c r="K120" s="62"/>
      <c r="L120" s="63"/>
      <c r="M120" s="64"/>
      <c r="N120" s="57"/>
      <c r="O120" s="55"/>
      <c r="P120" s="57"/>
      <c r="Q120" s="57"/>
      <c r="R120" s="57"/>
      <c r="S120" s="57"/>
      <c r="T120" s="57"/>
      <c r="U120" s="57"/>
      <c r="V120" s="57"/>
      <c r="W120" s="57"/>
      <c r="X120" s="65"/>
    </row>
    <row r="121" spans="1:24" ht="15">
      <c r="A121" s="398"/>
      <c r="B121" s="163"/>
      <c r="C121" s="164" t="s">
        <v>55</v>
      </c>
      <c r="D121" s="165"/>
      <c r="E121" s="166"/>
      <c r="F121" s="164"/>
      <c r="G121" s="167"/>
      <c r="H121" s="168">
        <f t="shared" si="4"/>
        <v>1</v>
      </c>
      <c r="I121" s="169"/>
      <c r="J121" s="170">
        <v>1</v>
      </c>
      <c r="K121" s="70"/>
      <c r="L121" s="71"/>
      <c r="M121" s="72"/>
      <c r="N121" s="68"/>
      <c r="O121" s="66"/>
      <c r="P121" s="68"/>
      <c r="Q121" s="68"/>
      <c r="R121" s="68"/>
      <c r="S121" s="68"/>
      <c r="T121" s="68"/>
      <c r="U121" s="68"/>
      <c r="V121" s="68"/>
      <c r="W121" s="68"/>
      <c r="X121" s="73"/>
    </row>
    <row r="122" spans="1:24" ht="13.5" thickBot="1">
      <c r="A122" s="399"/>
      <c r="B122" s="171"/>
      <c r="C122" s="172" t="s">
        <v>56</v>
      </c>
      <c r="D122" s="173"/>
      <c r="E122" s="174"/>
      <c r="F122" s="172"/>
      <c r="G122" s="175"/>
      <c r="H122" s="182">
        <f t="shared" si="4"/>
        <v>114.649</v>
      </c>
      <c r="I122" s="183"/>
      <c r="J122" s="184">
        <v>114.649</v>
      </c>
      <c r="K122" s="78"/>
      <c r="L122" s="79"/>
      <c r="M122" s="80"/>
      <c r="N122" s="76"/>
      <c r="O122" s="74"/>
      <c r="P122" s="76"/>
      <c r="Q122" s="76"/>
      <c r="R122" s="76"/>
      <c r="S122" s="76"/>
      <c r="T122" s="76"/>
      <c r="U122" s="76"/>
      <c r="V122" s="76"/>
      <c r="W122" s="76"/>
      <c r="X122" s="81"/>
    </row>
    <row r="123" spans="1:24" ht="15">
      <c r="A123" s="397" t="s">
        <v>124</v>
      </c>
      <c r="B123" s="155" t="s">
        <v>125</v>
      </c>
      <c r="C123" s="156" t="s">
        <v>54</v>
      </c>
      <c r="D123" s="157"/>
      <c r="E123" s="158"/>
      <c r="F123" s="156"/>
      <c r="G123" s="159"/>
      <c r="H123" s="160">
        <f t="shared" si="4"/>
        <v>0.813</v>
      </c>
      <c r="I123" s="161"/>
      <c r="J123" s="162">
        <v>0.813</v>
      </c>
      <c r="K123" s="62"/>
      <c r="L123" s="63"/>
      <c r="M123" s="64"/>
      <c r="N123" s="57"/>
      <c r="O123" s="55"/>
      <c r="P123" s="57"/>
      <c r="Q123" s="57"/>
      <c r="R123" s="57"/>
      <c r="S123" s="57"/>
      <c r="T123" s="57"/>
      <c r="U123" s="57"/>
      <c r="V123" s="57"/>
      <c r="W123" s="57"/>
      <c r="X123" s="65"/>
    </row>
    <row r="124" spans="1:24" ht="15">
      <c r="A124" s="398"/>
      <c r="B124" s="163"/>
      <c r="C124" s="164" t="s">
        <v>55</v>
      </c>
      <c r="D124" s="165"/>
      <c r="E124" s="166"/>
      <c r="F124" s="164"/>
      <c r="G124" s="167"/>
      <c r="H124" s="168">
        <f t="shared" si="4"/>
        <v>2</v>
      </c>
      <c r="I124" s="169"/>
      <c r="J124" s="170">
        <v>2</v>
      </c>
      <c r="K124" s="70"/>
      <c r="L124" s="71"/>
      <c r="M124" s="72"/>
      <c r="N124" s="68"/>
      <c r="O124" s="66"/>
      <c r="P124" s="68"/>
      <c r="Q124" s="68"/>
      <c r="R124" s="68"/>
      <c r="S124" s="68"/>
      <c r="T124" s="68"/>
      <c r="U124" s="68"/>
      <c r="V124" s="68"/>
      <c r="W124" s="68"/>
      <c r="X124" s="73"/>
    </row>
    <row r="125" spans="1:24" ht="13.5" thickBot="1">
      <c r="A125" s="399"/>
      <c r="B125" s="171"/>
      <c r="C125" s="172" t="s">
        <v>56</v>
      </c>
      <c r="D125" s="173"/>
      <c r="E125" s="174"/>
      <c r="F125" s="172"/>
      <c r="G125" s="175"/>
      <c r="H125" s="176">
        <f t="shared" si="4"/>
        <v>258.626</v>
      </c>
      <c r="I125" s="177"/>
      <c r="J125" s="178">
        <v>258.626</v>
      </c>
      <c r="K125" s="78"/>
      <c r="L125" s="79"/>
      <c r="M125" s="80"/>
      <c r="N125" s="76"/>
      <c r="O125" s="74"/>
      <c r="P125" s="76"/>
      <c r="Q125" s="76"/>
      <c r="R125" s="76"/>
      <c r="S125" s="76"/>
      <c r="T125" s="76"/>
      <c r="U125" s="76"/>
      <c r="V125" s="76"/>
      <c r="W125" s="76"/>
      <c r="X125" s="81"/>
    </row>
    <row r="126" spans="1:24" ht="15">
      <c r="A126" s="397" t="s">
        <v>126</v>
      </c>
      <c r="B126" s="196" t="s">
        <v>127</v>
      </c>
      <c r="C126" s="197" t="s">
        <v>54</v>
      </c>
      <c r="D126" s="198"/>
      <c r="E126" s="199"/>
      <c r="F126" s="197"/>
      <c r="G126" s="200"/>
      <c r="H126" s="201">
        <f t="shared" si="4"/>
        <v>1.237</v>
      </c>
      <c r="I126" s="202"/>
      <c r="J126" s="203">
        <v>1.237</v>
      </c>
      <c r="K126" s="62"/>
      <c r="L126" s="63"/>
      <c r="M126" s="64"/>
      <c r="N126" s="57"/>
      <c r="O126" s="55"/>
      <c r="P126" s="57"/>
      <c r="Q126" s="57"/>
      <c r="R126" s="57"/>
      <c r="S126" s="57"/>
      <c r="T126" s="57"/>
      <c r="U126" s="57"/>
      <c r="V126" s="57"/>
      <c r="W126" s="57"/>
      <c r="X126" s="65"/>
    </row>
    <row r="127" spans="1:24" ht="15">
      <c r="A127" s="398"/>
      <c r="B127" s="204"/>
      <c r="C127" s="205" t="s">
        <v>55</v>
      </c>
      <c r="D127" s="206"/>
      <c r="E127" s="207"/>
      <c r="F127" s="205"/>
      <c r="G127" s="208"/>
      <c r="H127" s="209">
        <f t="shared" si="4"/>
        <v>1</v>
      </c>
      <c r="I127" s="210"/>
      <c r="J127" s="211">
        <v>1</v>
      </c>
      <c r="K127" s="70"/>
      <c r="L127" s="71"/>
      <c r="M127" s="72"/>
      <c r="N127" s="68"/>
      <c r="O127" s="66"/>
      <c r="P127" s="68"/>
      <c r="Q127" s="68"/>
      <c r="R127" s="68"/>
      <c r="S127" s="68"/>
      <c r="T127" s="68"/>
      <c r="U127" s="68"/>
      <c r="V127" s="68"/>
      <c r="W127" s="68"/>
      <c r="X127" s="73"/>
    </row>
    <row r="128" spans="1:24" ht="13.5" thickBot="1">
      <c r="A128" s="399"/>
      <c r="B128" s="212"/>
      <c r="C128" s="213" t="s">
        <v>56</v>
      </c>
      <c r="D128" s="214"/>
      <c r="E128" s="215"/>
      <c r="F128" s="213"/>
      <c r="G128" s="216"/>
      <c r="H128" s="217">
        <f t="shared" si="4"/>
        <v>319.995</v>
      </c>
      <c r="I128" s="218"/>
      <c r="J128" s="219">
        <v>319.995</v>
      </c>
      <c r="K128" s="78"/>
      <c r="L128" s="79"/>
      <c r="M128" s="80"/>
      <c r="N128" s="76"/>
      <c r="O128" s="74"/>
      <c r="P128" s="76"/>
      <c r="Q128" s="76"/>
      <c r="R128" s="76"/>
      <c r="S128" s="76"/>
      <c r="T128" s="76"/>
      <c r="U128" s="76"/>
      <c r="V128" s="76"/>
      <c r="W128" s="76"/>
      <c r="X128" s="81"/>
    </row>
    <row r="129" spans="1:24" ht="15">
      <c r="A129" s="397" t="s">
        <v>128</v>
      </c>
      <c r="B129" s="196" t="s">
        <v>129</v>
      </c>
      <c r="C129" s="197" t="s">
        <v>54</v>
      </c>
      <c r="D129" s="198"/>
      <c r="E129" s="199"/>
      <c r="F129" s="197"/>
      <c r="G129" s="200"/>
      <c r="H129" s="201">
        <f t="shared" si="4"/>
        <v>0.68</v>
      </c>
      <c r="I129" s="202"/>
      <c r="J129" s="203">
        <f>0.34+0.34</f>
        <v>0.68</v>
      </c>
      <c r="K129" s="62"/>
      <c r="L129" s="63"/>
      <c r="M129" s="64"/>
      <c r="N129" s="57"/>
      <c r="O129" s="55"/>
      <c r="P129" s="57"/>
      <c r="Q129" s="57"/>
      <c r="R129" s="57"/>
      <c r="S129" s="57"/>
      <c r="T129" s="57"/>
      <c r="U129" s="57"/>
      <c r="V129" s="57"/>
      <c r="W129" s="57"/>
      <c r="X129" s="65"/>
    </row>
    <row r="130" spans="1:24" ht="15">
      <c r="A130" s="398"/>
      <c r="B130" s="204"/>
      <c r="C130" s="205" t="s">
        <v>55</v>
      </c>
      <c r="D130" s="206"/>
      <c r="E130" s="207"/>
      <c r="F130" s="205"/>
      <c r="G130" s="208"/>
      <c r="H130" s="209">
        <f t="shared" si="4"/>
        <v>2</v>
      </c>
      <c r="I130" s="210"/>
      <c r="J130" s="211">
        <f>1+1</f>
        <v>2</v>
      </c>
      <c r="K130" s="70"/>
      <c r="L130" s="71"/>
      <c r="M130" s="72"/>
      <c r="N130" s="68"/>
      <c r="O130" s="66"/>
      <c r="P130" s="68"/>
      <c r="Q130" s="68"/>
      <c r="R130" s="68"/>
      <c r="S130" s="68"/>
      <c r="T130" s="68"/>
      <c r="U130" s="68"/>
      <c r="V130" s="68"/>
      <c r="W130" s="68"/>
      <c r="X130" s="73"/>
    </row>
    <row r="131" spans="1:24" ht="13.5" thickBot="1">
      <c r="A131" s="399"/>
      <c r="B131" s="212"/>
      <c r="C131" s="213" t="s">
        <v>56</v>
      </c>
      <c r="D131" s="214"/>
      <c r="E131" s="215"/>
      <c r="F131" s="213"/>
      <c r="G131" s="216"/>
      <c r="H131" s="224">
        <f t="shared" si="4"/>
        <v>274.094</v>
      </c>
      <c r="I131" s="228"/>
      <c r="J131" s="219">
        <f>129.329+144.765</f>
        <v>274.094</v>
      </c>
      <c r="K131" s="78"/>
      <c r="L131" s="79"/>
      <c r="M131" s="80"/>
      <c r="N131" s="76"/>
      <c r="O131" s="74"/>
      <c r="P131" s="76"/>
      <c r="Q131" s="76"/>
      <c r="R131" s="76"/>
      <c r="S131" s="76"/>
      <c r="T131" s="76"/>
      <c r="U131" s="76"/>
      <c r="V131" s="76"/>
      <c r="W131" s="76"/>
      <c r="X131" s="81"/>
    </row>
    <row r="132" spans="1:24" ht="15">
      <c r="A132" s="397" t="s">
        <v>130</v>
      </c>
      <c r="B132" s="155" t="s">
        <v>131</v>
      </c>
      <c r="C132" s="156" t="s">
        <v>54</v>
      </c>
      <c r="D132" s="157"/>
      <c r="E132" s="158"/>
      <c r="F132" s="156"/>
      <c r="G132" s="159"/>
      <c r="H132" s="179">
        <f t="shared" si="4"/>
        <v>0.787</v>
      </c>
      <c r="I132" s="180"/>
      <c r="J132" s="181">
        <v>0.787</v>
      </c>
      <c r="K132" s="62"/>
      <c r="L132" s="63"/>
      <c r="M132" s="64"/>
      <c r="N132" s="57"/>
      <c r="O132" s="55"/>
      <c r="P132" s="57"/>
      <c r="Q132" s="57"/>
      <c r="R132" s="57"/>
      <c r="S132" s="57"/>
      <c r="T132" s="57"/>
      <c r="U132" s="57"/>
      <c r="V132" s="57"/>
      <c r="W132" s="57"/>
      <c r="X132" s="65"/>
    </row>
    <row r="133" spans="1:24" ht="15">
      <c r="A133" s="398"/>
      <c r="B133" s="163"/>
      <c r="C133" s="164" t="s">
        <v>55</v>
      </c>
      <c r="D133" s="165"/>
      <c r="E133" s="166"/>
      <c r="F133" s="164"/>
      <c r="G133" s="167"/>
      <c r="H133" s="168">
        <f t="shared" si="4"/>
        <v>1</v>
      </c>
      <c r="I133" s="169"/>
      <c r="J133" s="170">
        <v>1</v>
      </c>
      <c r="K133" s="70"/>
      <c r="L133" s="71"/>
      <c r="M133" s="72"/>
      <c r="N133" s="68"/>
      <c r="O133" s="66"/>
      <c r="P133" s="68"/>
      <c r="Q133" s="68"/>
      <c r="R133" s="68"/>
      <c r="S133" s="68"/>
      <c r="T133" s="68"/>
      <c r="U133" s="68"/>
      <c r="V133" s="68"/>
      <c r="W133" s="68"/>
      <c r="X133" s="73"/>
    </row>
    <row r="134" spans="1:24" ht="13.5" thickBot="1">
      <c r="A134" s="399"/>
      <c r="B134" s="171"/>
      <c r="C134" s="172" t="s">
        <v>56</v>
      </c>
      <c r="D134" s="173"/>
      <c r="E134" s="174"/>
      <c r="F134" s="172"/>
      <c r="G134" s="175"/>
      <c r="H134" s="182">
        <f t="shared" si="4"/>
        <v>225.063</v>
      </c>
      <c r="I134" s="183"/>
      <c r="J134" s="184">
        <v>225.063</v>
      </c>
      <c r="K134" s="78"/>
      <c r="L134" s="79"/>
      <c r="M134" s="80"/>
      <c r="N134" s="76"/>
      <c r="O134" s="74"/>
      <c r="P134" s="76"/>
      <c r="Q134" s="76"/>
      <c r="R134" s="76"/>
      <c r="S134" s="76"/>
      <c r="T134" s="76"/>
      <c r="U134" s="76"/>
      <c r="V134" s="76"/>
      <c r="W134" s="76"/>
      <c r="X134" s="81"/>
    </row>
    <row r="135" spans="1:24" ht="15">
      <c r="A135" s="397" t="s">
        <v>132</v>
      </c>
      <c r="B135" s="116" t="s">
        <v>133</v>
      </c>
      <c r="C135" s="117" t="s">
        <v>54</v>
      </c>
      <c r="D135" s="118"/>
      <c r="E135" s="119"/>
      <c r="F135" s="117"/>
      <c r="G135" s="120"/>
      <c r="H135" s="121">
        <f t="shared" si="4"/>
        <v>0.61</v>
      </c>
      <c r="I135" s="146">
        <f>0.305+0.305</f>
        <v>0.61</v>
      </c>
      <c r="J135" s="123"/>
      <c r="K135" s="62"/>
      <c r="L135" s="63"/>
      <c r="M135" s="64"/>
      <c r="N135" s="57"/>
      <c r="O135" s="55"/>
      <c r="P135" s="57"/>
      <c r="Q135" s="57"/>
      <c r="R135" s="57"/>
      <c r="S135" s="57"/>
      <c r="T135" s="57"/>
      <c r="U135" s="57"/>
      <c r="V135" s="57"/>
      <c r="W135" s="57"/>
      <c r="X135" s="65"/>
    </row>
    <row r="136" spans="1:24" ht="15">
      <c r="A136" s="398"/>
      <c r="B136" s="124"/>
      <c r="C136" s="125" t="s">
        <v>55</v>
      </c>
      <c r="D136" s="126"/>
      <c r="E136" s="127"/>
      <c r="F136" s="125"/>
      <c r="G136" s="128"/>
      <c r="H136" s="129">
        <f t="shared" si="4"/>
        <v>2</v>
      </c>
      <c r="I136" s="147">
        <f>1+1</f>
        <v>2</v>
      </c>
      <c r="J136" s="131"/>
      <c r="K136" s="70"/>
      <c r="L136" s="71"/>
      <c r="M136" s="72"/>
      <c r="N136" s="68"/>
      <c r="O136" s="66"/>
      <c r="P136" s="68"/>
      <c r="Q136" s="68"/>
      <c r="R136" s="68"/>
      <c r="S136" s="68"/>
      <c r="T136" s="68"/>
      <c r="U136" s="68"/>
      <c r="V136" s="68"/>
      <c r="W136" s="68"/>
      <c r="X136" s="73"/>
    </row>
    <row r="137" spans="1:24" ht="13.5" thickBot="1">
      <c r="A137" s="399"/>
      <c r="B137" s="132"/>
      <c r="C137" s="133" t="s">
        <v>56</v>
      </c>
      <c r="D137" s="134"/>
      <c r="E137" s="135"/>
      <c r="F137" s="133"/>
      <c r="G137" s="136"/>
      <c r="H137" s="137">
        <f t="shared" si="4"/>
        <v>164.599</v>
      </c>
      <c r="I137" s="148">
        <f>79.28+85.319</f>
        <v>164.599</v>
      </c>
      <c r="J137" s="139"/>
      <c r="K137" s="78"/>
      <c r="L137" s="79"/>
      <c r="M137" s="80"/>
      <c r="N137" s="76"/>
      <c r="O137" s="74"/>
      <c r="P137" s="76"/>
      <c r="Q137" s="76"/>
      <c r="R137" s="76"/>
      <c r="S137" s="76"/>
      <c r="T137" s="76"/>
      <c r="U137" s="76"/>
      <c r="V137" s="76"/>
      <c r="W137" s="76"/>
      <c r="X137" s="81"/>
    </row>
    <row r="138" spans="1:24" ht="15">
      <c r="A138" s="397" t="s">
        <v>134</v>
      </c>
      <c r="B138" s="155" t="s">
        <v>135</v>
      </c>
      <c r="C138" s="156" t="s">
        <v>54</v>
      </c>
      <c r="D138" s="157"/>
      <c r="E138" s="158"/>
      <c r="F138" s="156"/>
      <c r="G138" s="159"/>
      <c r="H138" s="179">
        <f t="shared" si="4"/>
        <v>0.7929999999999999</v>
      </c>
      <c r="I138" s="185"/>
      <c r="J138" s="181">
        <v>0.7929999999999999</v>
      </c>
      <c r="K138" s="62"/>
      <c r="L138" s="63"/>
      <c r="M138" s="64"/>
      <c r="N138" s="57"/>
      <c r="O138" s="55"/>
      <c r="P138" s="57"/>
      <c r="Q138" s="57"/>
      <c r="R138" s="57"/>
      <c r="S138" s="57"/>
      <c r="T138" s="57"/>
      <c r="U138" s="57"/>
      <c r="V138" s="57"/>
      <c r="W138" s="57"/>
      <c r="X138" s="65"/>
    </row>
    <row r="139" spans="1:24" ht="15">
      <c r="A139" s="398"/>
      <c r="B139" s="163"/>
      <c r="C139" s="164" t="s">
        <v>55</v>
      </c>
      <c r="D139" s="165"/>
      <c r="E139" s="166"/>
      <c r="F139" s="164"/>
      <c r="G139" s="167"/>
      <c r="H139" s="168">
        <f t="shared" si="4"/>
        <v>2</v>
      </c>
      <c r="I139" s="186"/>
      <c r="J139" s="170">
        <v>2</v>
      </c>
      <c r="K139" s="70"/>
      <c r="L139" s="71"/>
      <c r="M139" s="72"/>
      <c r="N139" s="68"/>
      <c r="O139" s="66"/>
      <c r="P139" s="68"/>
      <c r="Q139" s="68"/>
      <c r="R139" s="68"/>
      <c r="S139" s="68"/>
      <c r="T139" s="68"/>
      <c r="U139" s="68"/>
      <c r="V139" s="68"/>
      <c r="W139" s="68"/>
      <c r="X139" s="73"/>
    </row>
    <row r="140" spans="1:24" ht="13.5" thickBot="1">
      <c r="A140" s="399"/>
      <c r="B140" s="171"/>
      <c r="C140" s="172" t="s">
        <v>56</v>
      </c>
      <c r="D140" s="173"/>
      <c r="E140" s="174"/>
      <c r="F140" s="172"/>
      <c r="G140" s="175"/>
      <c r="H140" s="182">
        <f t="shared" si="4"/>
        <v>247.085</v>
      </c>
      <c r="I140" s="187"/>
      <c r="J140" s="184">
        <v>247.085</v>
      </c>
      <c r="K140" s="78"/>
      <c r="L140" s="79"/>
      <c r="M140" s="80"/>
      <c r="N140" s="76"/>
      <c r="O140" s="74"/>
      <c r="P140" s="76"/>
      <c r="Q140" s="76"/>
      <c r="R140" s="76"/>
      <c r="S140" s="76"/>
      <c r="T140" s="76"/>
      <c r="U140" s="76"/>
      <c r="V140" s="76"/>
      <c r="W140" s="76"/>
      <c r="X140" s="81"/>
    </row>
    <row r="141" spans="1:24" ht="15">
      <c r="A141" s="397" t="s">
        <v>136</v>
      </c>
      <c r="B141" s="196" t="s">
        <v>137</v>
      </c>
      <c r="C141" s="197" t="s">
        <v>54</v>
      </c>
      <c r="D141" s="198"/>
      <c r="E141" s="199"/>
      <c r="F141" s="197"/>
      <c r="G141" s="200"/>
      <c r="H141" s="220">
        <f t="shared" si="4"/>
        <v>0.325</v>
      </c>
      <c r="I141" s="221"/>
      <c r="J141" s="222">
        <v>0.325</v>
      </c>
      <c r="K141" s="62"/>
      <c r="L141" s="63"/>
      <c r="M141" s="64"/>
      <c r="N141" s="57"/>
      <c r="O141" s="55"/>
      <c r="P141" s="57"/>
      <c r="Q141" s="57"/>
      <c r="R141" s="57"/>
      <c r="S141" s="57"/>
      <c r="T141" s="57"/>
      <c r="U141" s="57"/>
      <c r="V141" s="57"/>
      <c r="W141" s="57"/>
      <c r="X141" s="65"/>
    </row>
    <row r="142" spans="1:24" ht="15">
      <c r="A142" s="398"/>
      <c r="B142" s="204"/>
      <c r="C142" s="205" t="s">
        <v>55</v>
      </c>
      <c r="D142" s="206"/>
      <c r="E142" s="207"/>
      <c r="F142" s="205"/>
      <c r="G142" s="208"/>
      <c r="H142" s="209">
        <f t="shared" si="4"/>
        <v>1</v>
      </c>
      <c r="I142" s="223"/>
      <c r="J142" s="211">
        <v>1</v>
      </c>
      <c r="K142" s="70"/>
      <c r="L142" s="71"/>
      <c r="M142" s="72"/>
      <c r="N142" s="68"/>
      <c r="O142" s="66"/>
      <c r="P142" s="68"/>
      <c r="Q142" s="68"/>
      <c r="R142" s="68"/>
      <c r="S142" s="68"/>
      <c r="T142" s="68"/>
      <c r="U142" s="68"/>
      <c r="V142" s="68"/>
      <c r="W142" s="68"/>
      <c r="X142" s="73"/>
    </row>
    <row r="143" spans="1:24" ht="13.5" thickBot="1">
      <c r="A143" s="399"/>
      <c r="B143" s="212"/>
      <c r="C143" s="213" t="s">
        <v>56</v>
      </c>
      <c r="D143" s="214"/>
      <c r="E143" s="215"/>
      <c r="F143" s="213"/>
      <c r="G143" s="216"/>
      <c r="H143" s="224">
        <f t="shared" si="4"/>
        <v>92.567</v>
      </c>
      <c r="I143" s="225"/>
      <c r="J143" s="226">
        <v>92.567</v>
      </c>
      <c r="K143" s="78"/>
      <c r="L143" s="79"/>
      <c r="M143" s="80"/>
      <c r="N143" s="76"/>
      <c r="O143" s="74"/>
      <c r="P143" s="76"/>
      <c r="Q143" s="76"/>
      <c r="R143" s="76"/>
      <c r="S143" s="76"/>
      <c r="T143" s="76"/>
      <c r="U143" s="76"/>
      <c r="V143" s="76"/>
      <c r="W143" s="76"/>
      <c r="X143" s="81"/>
    </row>
    <row r="144" spans="1:24" ht="15">
      <c r="A144" s="397" t="s">
        <v>138</v>
      </c>
      <c r="B144" s="155" t="s">
        <v>139</v>
      </c>
      <c r="C144" s="156" t="s">
        <v>54</v>
      </c>
      <c r="D144" s="157"/>
      <c r="E144" s="158"/>
      <c r="F144" s="156"/>
      <c r="G144" s="159"/>
      <c r="H144" s="179">
        <f t="shared" si="4"/>
        <v>1.222</v>
      </c>
      <c r="I144" s="185"/>
      <c r="J144" s="181">
        <f>0.643+0.579</f>
        <v>1.222</v>
      </c>
      <c r="K144" s="62"/>
      <c r="L144" s="63"/>
      <c r="M144" s="64"/>
      <c r="N144" s="57"/>
      <c r="O144" s="55"/>
      <c r="P144" s="57"/>
      <c r="Q144" s="57"/>
      <c r="R144" s="57"/>
      <c r="S144" s="57"/>
      <c r="T144" s="57"/>
      <c r="U144" s="57"/>
      <c r="V144" s="57"/>
      <c r="W144" s="57"/>
      <c r="X144" s="65"/>
    </row>
    <row r="145" spans="1:24" ht="15">
      <c r="A145" s="398"/>
      <c r="B145" s="163"/>
      <c r="C145" s="164" t="s">
        <v>55</v>
      </c>
      <c r="D145" s="165"/>
      <c r="E145" s="166"/>
      <c r="F145" s="164"/>
      <c r="G145" s="167"/>
      <c r="H145" s="168">
        <f t="shared" si="4"/>
        <v>2</v>
      </c>
      <c r="I145" s="186"/>
      <c r="J145" s="170">
        <f>1+1</f>
        <v>2</v>
      </c>
      <c r="K145" s="70"/>
      <c r="L145" s="71"/>
      <c r="M145" s="72"/>
      <c r="N145" s="68"/>
      <c r="O145" s="66"/>
      <c r="P145" s="68"/>
      <c r="Q145" s="68"/>
      <c r="R145" s="68"/>
      <c r="S145" s="68"/>
      <c r="T145" s="68"/>
      <c r="U145" s="68"/>
      <c r="V145" s="68"/>
      <c r="W145" s="68"/>
      <c r="X145" s="73"/>
    </row>
    <row r="146" spans="1:24" ht="13.5" thickBot="1">
      <c r="A146" s="399"/>
      <c r="B146" s="171"/>
      <c r="C146" s="172" t="s">
        <v>56</v>
      </c>
      <c r="D146" s="173"/>
      <c r="E146" s="174"/>
      <c r="F146" s="172"/>
      <c r="G146" s="175"/>
      <c r="H146" s="182">
        <f t="shared" si="4"/>
        <v>411.64099999999996</v>
      </c>
      <c r="I146" s="187"/>
      <c r="J146" s="184">
        <f>246.56+165.081</f>
        <v>411.64099999999996</v>
      </c>
      <c r="K146" s="78"/>
      <c r="L146" s="79"/>
      <c r="M146" s="80"/>
      <c r="N146" s="76"/>
      <c r="O146" s="74"/>
      <c r="P146" s="76"/>
      <c r="Q146" s="76"/>
      <c r="R146" s="76"/>
      <c r="S146" s="76"/>
      <c r="T146" s="76"/>
      <c r="U146" s="76"/>
      <c r="V146" s="76"/>
      <c r="W146" s="76"/>
      <c r="X146" s="81"/>
    </row>
    <row r="147" spans="1:24" ht="15">
      <c r="A147" s="397" t="s">
        <v>140</v>
      </c>
      <c r="B147" s="196" t="s">
        <v>141</v>
      </c>
      <c r="C147" s="197" t="s">
        <v>54</v>
      </c>
      <c r="D147" s="198"/>
      <c r="E147" s="199"/>
      <c r="F147" s="197"/>
      <c r="G147" s="200"/>
      <c r="H147" s="220">
        <f t="shared" si="4"/>
        <v>0.411</v>
      </c>
      <c r="I147" s="221"/>
      <c r="J147" s="222">
        <v>0.411</v>
      </c>
      <c r="K147" s="62"/>
      <c r="L147" s="63"/>
      <c r="M147" s="64"/>
      <c r="N147" s="57"/>
      <c r="O147" s="55"/>
      <c r="P147" s="57"/>
      <c r="Q147" s="57"/>
      <c r="R147" s="57"/>
      <c r="S147" s="57"/>
      <c r="T147" s="57"/>
      <c r="U147" s="57"/>
      <c r="V147" s="57"/>
      <c r="W147" s="57"/>
      <c r="X147" s="65"/>
    </row>
    <row r="148" spans="1:24" ht="15">
      <c r="A148" s="398"/>
      <c r="B148" s="204"/>
      <c r="C148" s="205" t="s">
        <v>55</v>
      </c>
      <c r="D148" s="206"/>
      <c r="E148" s="207"/>
      <c r="F148" s="205"/>
      <c r="G148" s="208"/>
      <c r="H148" s="209">
        <f t="shared" si="4"/>
        <v>1</v>
      </c>
      <c r="I148" s="223"/>
      <c r="J148" s="211">
        <v>1</v>
      </c>
      <c r="K148" s="70"/>
      <c r="L148" s="71"/>
      <c r="M148" s="72"/>
      <c r="N148" s="68"/>
      <c r="O148" s="66"/>
      <c r="P148" s="68"/>
      <c r="Q148" s="68"/>
      <c r="R148" s="68"/>
      <c r="S148" s="68"/>
      <c r="T148" s="68"/>
      <c r="U148" s="68"/>
      <c r="V148" s="68"/>
      <c r="W148" s="68"/>
      <c r="X148" s="73"/>
    </row>
    <row r="149" spans="1:24" ht="13.5" thickBot="1">
      <c r="A149" s="399"/>
      <c r="B149" s="212"/>
      <c r="C149" s="213" t="s">
        <v>56</v>
      </c>
      <c r="D149" s="214"/>
      <c r="E149" s="215"/>
      <c r="F149" s="213"/>
      <c r="G149" s="216"/>
      <c r="H149" s="217">
        <f t="shared" si="4"/>
        <v>108.31</v>
      </c>
      <c r="I149" s="229"/>
      <c r="J149" s="219">
        <v>108.31</v>
      </c>
      <c r="K149" s="78"/>
      <c r="L149" s="79"/>
      <c r="M149" s="80"/>
      <c r="N149" s="76"/>
      <c r="O149" s="74"/>
      <c r="P149" s="76"/>
      <c r="Q149" s="76"/>
      <c r="R149" s="76"/>
      <c r="S149" s="76"/>
      <c r="T149" s="76"/>
      <c r="U149" s="76"/>
      <c r="V149" s="76"/>
      <c r="W149" s="76"/>
      <c r="X149" s="81"/>
    </row>
    <row r="150" spans="1:24" ht="15">
      <c r="A150" s="397" t="s">
        <v>142</v>
      </c>
      <c r="B150" s="196" t="s">
        <v>143</v>
      </c>
      <c r="C150" s="197" t="s">
        <v>54</v>
      </c>
      <c r="D150" s="198"/>
      <c r="E150" s="199"/>
      <c r="F150" s="197"/>
      <c r="G150" s="200"/>
      <c r="H150" s="220">
        <f t="shared" si="4"/>
        <v>0.352</v>
      </c>
      <c r="I150" s="227"/>
      <c r="J150" s="222">
        <v>0.352</v>
      </c>
      <c r="K150" s="62"/>
      <c r="L150" s="63"/>
      <c r="M150" s="64"/>
      <c r="N150" s="57"/>
      <c r="O150" s="55"/>
      <c r="P150" s="57"/>
      <c r="Q150" s="57"/>
      <c r="R150" s="57"/>
      <c r="S150" s="57"/>
      <c r="T150" s="57"/>
      <c r="U150" s="57"/>
      <c r="V150" s="57"/>
      <c r="W150" s="57"/>
      <c r="X150" s="65"/>
    </row>
    <row r="151" spans="1:24" ht="15">
      <c r="A151" s="398"/>
      <c r="B151" s="204"/>
      <c r="C151" s="205" t="s">
        <v>55</v>
      </c>
      <c r="D151" s="206"/>
      <c r="E151" s="207"/>
      <c r="F151" s="205"/>
      <c r="G151" s="208"/>
      <c r="H151" s="209">
        <f t="shared" si="4"/>
        <v>1</v>
      </c>
      <c r="I151" s="210"/>
      <c r="J151" s="211">
        <v>1</v>
      </c>
      <c r="K151" s="70"/>
      <c r="L151" s="71"/>
      <c r="M151" s="72"/>
      <c r="N151" s="68"/>
      <c r="O151" s="66"/>
      <c r="P151" s="68"/>
      <c r="Q151" s="68"/>
      <c r="R151" s="68"/>
      <c r="S151" s="68"/>
      <c r="T151" s="68"/>
      <c r="U151" s="68"/>
      <c r="V151" s="68"/>
      <c r="W151" s="68"/>
      <c r="X151" s="73"/>
    </row>
    <row r="152" spans="1:24" ht="13.5" thickBot="1">
      <c r="A152" s="399"/>
      <c r="B152" s="212"/>
      <c r="C152" s="213" t="s">
        <v>56</v>
      </c>
      <c r="D152" s="214"/>
      <c r="E152" s="215"/>
      <c r="F152" s="213"/>
      <c r="G152" s="216"/>
      <c r="H152" s="217">
        <f t="shared" si="4"/>
        <v>106.241</v>
      </c>
      <c r="I152" s="218"/>
      <c r="J152" s="219">
        <v>106.241</v>
      </c>
      <c r="K152" s="78"/>
      <c r="L152" s="79"/>
      <c r="M152" s="80"/>
      <c r="N152" s="76"/>
      <c r="O152" s="74"/>
      <c r="P152" s="76"/>
      <c r="Q152" s="76"/>
      <c r="R152" s="76"/>
      <c r="S152" s="76"/>
      <c r="T152" s="76"/>
      <c r="U152" s="76"/>
      <c r="V152" s="76"/>
      <c r="W152" s="76"/>
      <c r="X152" s="81"/>
    </row>
    <row r="153" spans="1:24" ht="15">
      <c r="A153" s="397" t="s">
        <v>144</v>
      </c>
      <c r="B153" s="196" t="s">
        <v>145</v>
      </c>
      <c r="C153" s="197" t="s">
        <v>54</v>
      </c>
      <c r="D153" s="198"/>
      <c r="E153" s="199"/>
      <c r="F153" s="197"/>
      <c r="G153" s="200"/>
      <c r="H153" s="220">
        <f t="shared" si="4"/>
        <v>0.667</v>
      </c>
      <c r="I153" s="227"/>
      <c r="J153" s="222">
        <v>0.667</v>
      </c>
      <c r="K153" s="62"/>
      <c r="L153" s="63"/>
      <c r="M153" s="64"/>
      <c r="N153" s="57"/>
      <c r="O153" s="55"/>
      <c r="P153" s="57"/>
      <c r="Q153" s="57"/>
      <c r="R153" s="57"/>
      <c r="S153" s="57"/>
      <c r="T153" s="57"/>
      <c r="U153" s="57"/>
      <c r="V153" s="57"/>
      <c r="W153" s="57"/>
      <c r="X153" s="65"/>
    </row>
    <row r="154" spans="1:24" ht="15">
      <c r="A154" s="398"/>
      <c r="B154" s="204"/>
      <c r="C154" s="205" t="s">
        <v>55</v>
      </c>
      <c r="D154" s="206"/>
      <c r="E154" s="207"/>
      <c r="F154" s="205"/>
      <c r="G154" s="208"/>
      <c r="H154" s="209">
        <f t="shared" si="4"/>
        <v>2</v>
      </c>
      <c r="I154" s="210"/>
      <c r="J154" s="211">
        <v>2</v>
      </c>
      <c r="K154" s="70"/>
      <c r="L154" s="71"/>
      <c r="M154" s="72"/>
      <c r="N154" s="68"/>
      <c r="O154" s="66"/>
      <c r="P154" s="68"/>
      <c r="Q154" s="68"/>
      <c r="R154" s="68"/>
      <c r="S154" s="68"/>
      <c r="T154" s="68"/>
      <c r="U154" s="68"/>
      <c r="V154" s="68"/>
      <c r="W154" s="68"/>
      <c r="X154" s="73"/>
    </row>
    <row r="155" spans="1:24" ht="13.5" thickBot="1">
      <c r="A155" s="399"/>
      <c r="B155" s="212"/>
      <c r="C155" s="213" t="s">
        <v>56</v>
      </c>
      <c r="D155" s="214"/>
      <c r="E155" s="215"/>
      <c r="F155" s="213"/>
      <c r="G155" s="216"/>
      <c r="H155" s="224">
        <f t="shared" si="4"/>
        <v>233.399</v>
      </c>
      <c r="I155" s="228"/>
      <c r="J155" s="226">
        <v>233.399</v>
      </c>
      <c r="K155" s="78"/>
      <c r="L155" s="79"/>
      <c r="M155" s="80"/>
      <c r="N155" s="76"/>
      <c r="O155" s="74"/>
      <c r="P155" s="76"/>
      <c r="Q155" s="76"/>
      <c r="R155" s="76"/>
      <c r="S155" s="76"/>
      <c r="T155" s="76"/>
      <c r="U155" s="76"/>
      <c r="V155" s="76"/>
      <c r="W155" s="76"/>
      <c r="X155" s="81"/>
    </row>
    <row r="156" spans="1:24" ht="15">
      <c r="A156" s="397" t="s">
        <v>146</v>
      </c>
      <c r="B156" s="155" t="s">
        <v>147</v>
      </c>
      <c r="C156" s="156" t="s">
        <v>54</v>
      </c>
      <c r="D156" s="157"/>
      <c r="E156" s="158"/>
      <c r="F156" s="156"/>
      <c r="G156" s="159"/>
      <c r="H156" s="179">
        <f aca="true" t="shared" si="5" ref="H156:H219">I156+J156</f>
        <v>0.398</v>
      </c>
      <c r="I156" s="180"/>
      <c r="J156" s="181">
        <v>0.398</v>
      </c>
      <c r="K156" s="62"/>
      <c r="L156" s="63"/>
      <c r="M156" s="64"/>
      <c r="N156" s="57"/>
      <c r="O156" s="55"/>
      <c r="P156" s="57"/>
      <c r="Q156" s="57"/>
      <c r="R156" s="57"/>
      <c r="S156" s="57"/>
      <c r="T156" s="57"/>
      <c r="U156" s="57"/>
      <c r="V156" s="57"/>
      <c r="W156" s="57"/>
      <c r="X156" s="65"/>
    </row>
    <row r="157" spans="1:24" ht="15">
      <c r="A157" s="398"/>
      <c r="B157" s="163"/>
      <c r="C157" s="164" t="s">
        <v>55</v>
      </c>
      <c r="D157" s="165"/>
      <c r="E157" s="166"/>
      <c r="F157" s="164"/>
      <c r="G157" s="167"/>
      <c r="H157" s="168">
        <f t="shared" si="5"/>
        <v>1</v>
      </c>
      <c r="I157" s="169"/>
      <c r="J157" s="170">
        <v>1</v>
      </c>
      <c r="K157" s="70"/>
      <c r="L157" s="71"/>
      <c r="M157" s="72"/>
      <c r="N157" s="68"/>
      <c r="O157" s="66"/>
      <c r="P157" s="68"/>
      <c r="Q157" s="68"/>
      <c r="R157" s="68"/>
      <c r="S157" s="68"/>
      <c r="T157" s="68"/>
      <c r="U157" s="68"/>
      <c r="V157" s="68"/>
      <c r="W157" s="68"/>
      <c r="X157" s="73"/>
    </row>
    <row r="158" spans="1:24" ht="13.5" thickBot="1">
      <c r="A158" s="399"/>
      <c r="B158" s="171"/>
      <c r="C158" s="172" t="s">
        <v>56</v>
      </c>
      <c r="D158" s="173"/>
      <c r="E158" s="174"/>
      <c r="F158" s="172"/>
      <c r="G158" s="175"/>
      <c r="H158" s="182">
        <f t="shared" si="5"/>
        <v>115.24</v>
      </c>
      <c r="I158" s="183"/>
      <c r="J158" s="184">
        <v>115.24</v>
      </c>
      <c r="K158" s="78"/>
      <c r="L158" s="79"/>
      <c r="M158" s="80"/>
      <c r="N158" s="76"/>
      <c r="O158" s="74"/>
      <c r="P158" s="76"/>
      <c r="Q158" s="76"/>
      <c r="R158" s="76"/>
      <c r="S158" s="76"/>
      <c r="T158" s="76"/>
      <c r="U158" s="76"/>
      <c r="V158" s="76"/>
      <c r="W158" s="76"/>
      <c r="X158" s="81"/>
    </row>
    <row r="159" spans="1:24" ht="15">
      <c r="A159" s="397" t="s">
        <v>148</v>
      </c>
      <c r="B159" s="155" t="s">
        <v>149</v>
      </c>
      <c r="C159" s="156" t="s">
        <v>54</v>
      </c>
      <c r="D159" s="157"/>
      <c r="E159" s="158"/>
      <c r="F159" s="156"/>
      <c r="G159" s="159"/>
      <c r="H159" s="160">
        <f t="shared" si="5"/>
        <v>0.398</v>
      </c>
      <c r="I159" s="161"/>
      <c r="J159" s="162">
        <v>0.398</v>
      </c>
      <c r="K159" s="62"/>
      <c r="L159" s="63"/>
      <c r="M159" s="64"/>
      <c r="N159" s="57"/>
      <c r="O159" s="55"/>
      <c r="P159" s="57"/>
      <c r="Q159" s="57"/>
      <c r="R159" s="57"/>
      <c r="S159" s="57"/>
      <c r="T159" s="57"/>
      <c r="U159" s="57"/>
      <c r="V159" s="57"/>
      <c r="W159" s="57"/>
      <c r="X159" s="65"/>
    </row>
    <row r="160" spans="1:24" ht="15">
      <c r="A160" s="398"/>
      <c r="B160" s="163"/>
      <c r="C160" s="164" t="s">
        <v>55</v>
      </c>
      <c r="D160" s="165"/>
      <c r="E160" s="166"/>
      <c r="F160" s="164"/>
      <c r="G160" s="167"/>
      <c r="H160" s="168">
        <f t="shared" si="5"/>
        <v>1</v>
      </c>
      <c r="I160" s="169"/>
      <c r="J160" s="170">
        <v>1</v>
      </c>
      <c r="K160" s="70"/>
      <c r="L160" s="71"/>
      <c r="M160" s="72"/>
      <c r="N160" s="68"/>
      <c r="O160" s="66"/>
      <c r="P160" s="68"/>
      <c r="Q160" s="68"/>
      <c r="R160" s="68"/>
      <c r="S160" s="68"/>
      <c r="T160" s="68"/>
      <c r="U160" s="68"/>
      <c r="V160" s="68"/>
      <c r="W160" s="68"/>
      <c r="X160" s="73"/>
    </row>
    <row r="161" spans="1:24" ht="13.5" thickBot="1">
      <c r="A161" s="399"/>
      <c r="B161" s="171"/>
      <c r="C161" s="172" t="s">
        <v>56</v>
      </c>
      <c r="D161" s="173"/>
      <c r="E161" s="174"/>
      <c r="F161" s="172"/>
      <c r="G161" s="175"/>
      <c r="H161" s="176">
        <f t="shared" si="5"/>
        <v>111.819</v>
      </c>
      <c r="I161" s="177"/>
      <c r="J161" s="178">
        <v>111.819</v>
      </c>
      <c r="K161" s="78"/>
      <c r="L161" s="79"/>
      <c r="M161" s="80"/>
      <c r="N161" s="76"/>
      <c r="O161" s="74"/>
      <c r="P161" s="76"/>
      <c r="Q161" s="76"/>
      <c r="R161" s="76"/>
      <c r="S161" s="76"/>
      <c r="T161" s="76"/>
      <c r="U161" s="76"/>
      <c r="V161" s="76"/>
      <c r="W161" s="76"/>
      <c r="X161" s="81"/>
    </row>
    <row r="162" spans="1:24" ht="15">
      <c r="A162" s="397" t="s">
        <v>150</v>
      </c>
      <c r="B162" s="155" t="s">
        <v>151</v>
      </c>
      <c r="C162" s="156" t="s">
        <v>54</v>
      </c>
      <c r="D162" s="157"/>
      <c r="E162" s="158"/>
      <c r="F162" s="156"/>
      <c r="G162" s="159"/>
      <c r="H162" s="179">
        <f t="shared" si="5"/>
        <v>2.507</v>
      </c>
      <c r="I162" s="180"/>
      <c r="J162" s="181">
        <v>2.507</v>
      </c>
      <c r="K162" s="62"/>
      <c r="L162" s="63"/>
      <c r="M162" s="64"/>
      <c r="N162" s="57"/>
      <c r="O162" s="55"/>
      <c r="P162" s="57"/>
      <c r="Q162" s="57"/>
      <c r="R162" s="57"/>
      <c r="S162" s="57"/>
      <c r="T162" s="57"/>
      <c r="U162" s="57"/>
      <c r="V162" s="57"/>
      <c r="W162" s="57"/>
      <c r="X162" s="65"/>
    </row>
    <row r="163" spans="1:24" ht="15">
      <c r="A163" s="398"/>
      <c r="B163" s="163"/>
      <c r="C163" s="164" t="s">
        <v>55</v>
      </c>
      <c r="D163" s="165"/>
      <c r="E163" s="166"/>
      <c r="F163" s="164"/>
      <c r="G163" s="167"/>
      <c r="H163" s="168">
        <f t="shared" si="5"/>
        <v>2</v>
      </c>
      <c r="I163" s="169"/>
      <c r="J163" s="170">
        <v>2</v>
      </c>
      <c r="K163" s="70"/>
      <c r="L163" s="71"/>
      <c r="M163" s="72"/>
      <c r="N163" s="68"/>
      <c r="O163" s="66"/>
      <c r="P163" s="68"/>
      <c r="Q163" s="68"/>
      <c r="R163" s="68"/>
      <c r="S163" s="68"/>
      <c r="T163" s="68"/>
      <c r="U163" s="68"/>
      <c r="V163" s="68"/>
      <c r="W163" s="68"/>
      <c r="X163" s="73"/>
    </row>
    <row r="164" spans="1:24" ht="13.5" thickBot="1">
      <c r="A164" s="399"/>
      <c r="B164" s="171"/>
      <c r="C164" s="172" t="s">
        <v>56</v>
      </c>
      <c r="D164" s="173"/>
      <c r="E164" s="174"/>
      <c r="F164" s="172"/>
      <c r="G164" s="175"/>
      <c r="H164" s="182">
        <f t="shared" si="5"/>
        <v>599.6220000000001</v>
      </c>
      <c r="I164" s="183"/>
      <c r="J164" s="184">
        <v>599.6220000000001</v>
      </c>
      <c r="K164" s="78"/>
      <c r="L164" s="79"/>
      <c r="M164" s="80"/>
      <c r="N164" s="76"/>
      <c r="O164" s="74"/>
      <c r="P164" s="76"/>
      <c r="Q164" s="76"/>
      <c r="R164" s="76"/>
      <c r="S164" s="76"/>
      <c r="T164" s="76"/>
      <c r="U164" s="76"/>
      <c r="V164" s="76"/>
      <c r="W164" s="76"/>
      <c r="X164" s="81"/>
    </row>
    <row r="165" spans="1:24" ht="15">
      <c r="A165" s="397" t="s">
        <v>152</v>
      </c>
      <c r="B165" s="155" t="s">
        <v>153</v>
      </c>
      <c r="C165" s="156" t="s">
        <v>54</v>
      </c>
      <c r="D165" s="157"/>
      <c r="E165" s="158"/>
      <c r="F165" s="156"/>
      <c r="G165" s="159"/>
      <c r="H165" s="160">
        <f t="shared" si="5"/>
        <v>2.682</v>
      </c>
      <c r="I165" s="161"/>
      <c r="J165" s="162">
        <v>2.682</v>
      </c>
      <c r="K165" s="62"/>
      <c r="L165" s="63"/>
      <c r="M165" s="64"/>
      <c r="N165" s="57"/>
      <c r="O165" s="55"/>
      <c r="P165" s="57"/>
      <c r="Q165" s="57"/>
      <c r="R165" s="57"/>
      <c r="S165" s="57"/>
      <c r="T165" s="57"/>
      <c r="U165" s="57"/>
      <c r="V165" s="57"/>
      <c r="W165" s="57"/>
      <c r="X165" s="65"/>
    </row>
    <row r="166" spans="1:24" ht="15">
      <c r="A166" s="398"/>
      <c r="B166" s="163"/>
      <c r="C166" s="164" t="s">
        <v>55</v>
      </c>
      <c r="D166" s="165"/>
      <c r="E166" s="166"/>
      <c r="F166" s="164"/>
      <c r="G166" s="167"/>
      <c r="H166" s="168">
        <f t="shared" si="5"/>
        <v>3</v>
      </c>
      <c r="I166" s="169"/>
      <c r="J166" s="170">
        <v>3</v>
      </c>
      <c r="K166" s="70"/>
      <c r="L166" s="71"/>
      <c r="M166" s="72"/>
      <c r="N166" s="68"/>
      <c r="O166" s="66"/>
      <c r="P166" s="68"/>
      <c r="Q166" s="68"/>
      <c r="R166" s="68"/>
      <c r="S166" s="68"/>
      <c r="T166" s="68"/>
      <c r="U166" s="68"/>
      <c r="V166" s="68"/>
      <c r="W166" s="68"/>
      <c r="X166" s="73"/>
    </row>
    <row r="167" spans="1:24" ht="13.5" thickBot="1">
      <c r="A167" s="399"/>
      <c r="B167" s="171"/>
      <c r="C167" s="172" t="s">
        <v>56</v>
      </c>
      <c r="D167" s="173"/>
      <c r="E167" s="174"/>
      <c r="F167" s="172"/>
      <c r="G167" s="175"/>
      <c r="H167" s="176">
        <f t="shared" si="5"/>
        <v>852.9929999999999</v>
      </c>
      <c r="I167" s="177"/>
      <c r="J167" s="178">
        <v>852.9929999999999</v>
      </c>
      <c r="K167" s="78"/>
      <c r="L167" s="79"/>
      <c r="M167" s="80"/>
      <c r="N167" s="76"/>
      <c r="O167" s="74"/>
      <c r="P167" s="76"/>
      <c r="Q167" s="76"/>
      <c r="R167" s="76"/>
      <c r="S167" s="76"/>
      <c r="T167" s="76"/>
      <c r="U167" s="76"/>
      <c r="V167" s="76"/>
      <c r="W167" s="76"/>
      <c r="X167" s="81"/>
    </row>
    <row r="168" spans="1:24" ht="15">
      <c r="A168" s="397" t="s">
        <v>154</v>
      </c>
      <c r="B168" s="196" t="s">
        <v>155</v>
      </c>
      <c r="C168" s="197" t="s">
        <v>54</v>
      </c>
      <c r="D168" s="198"/>
      <c r="E168" s="199"/>
      <c r="F168" s="197"/>
      <c r="G168" s="200"/>
      <c r="H168" s="201">
        <f t="shared" si="5"/>
        <v>3.0229999999999997</v>
      </c>
      <c r="I168" s="202"/>
      <c r="J168" s="203">
        <v>3.0229999999999997</v>
      </c>
      <c r="K168" s="62"/>
      <c r="L168" s="63"/>
      <c r="M168" s="64"/>
      <c r="N168" s="57"/>
      <c r="O168" s="55"/>
      <c r="P168" s="57"/>
      <c r="Q168" s="57"/>
      <c r="R168" s="57"/>
      <c r="S168" s="57"/>
      <c r="T168" s="57"/>
      <c r="U168" s="57"/>
      <c r="V168" s="57"/>
      <c r="W168" s="57"/>
      <c r="X168" s="65"/>
    </row>
    <row r="169" spans="1:24" ht="15">
      <c r="A169" s="398"/>
      <c r="B169" s="204"/>
      <c r="C169" s="205" t="s">
        <v>55</v>
      </c>
      <c r="D169" s="206"/>
      <c r="E169" s="207"/>
      <c r="F169" s="205"/>
      <c r="G169" s="208"/>
      <c r="H169" s="209">
        <f t="shared" si="5"/>
        <v>3</v>
      </c>
      <c r="I169" s="210"/>
      <c r="J169" s="211">
        <v>3</v>
      </c>
      <c r="K169" s="70"/>
      <c r="L169" s="71"/>
      <c r="M169" s="72"/>
      <c r="N169" s="68"/>
      <c r="O169" s="66"/>
      <c r="P169" s="68"/>
      <c r="Q169" s="68"/>
      <c r="R169" s="68"/>
      <c r="S169" s="68"/>
      <c r="T169" s="68"/>
      <c r="U169" s="68"/>
      <c r="V169" s="68"/>
      <c r="W169" s="68"/>
      <c r="X169" s="73"/>
    </row>
    <row r="170" spans="1:24" ht="13.5" thickBot="1">
      <c r="A170" s="399"/>
      <c r="B170" s="212"/>
      <c r="C170" s="213" t="s">
        <v>56</v>
      </c>
      <c r="D170" s="214"/>
      <c r="E170" s="215"/>
      <c r="F170" s="213"/>
      <c r="G170" s="216"/>
      <c r="H170" s="217">
        <f t="shared" si="5"/>
        <v>810.8120000000001</v>
      </c>
      <c r="I170" s="218"/>
      <c r="J170" s="219">
        <v>810.8120000000001</v>
      </c>
      <c r="K170" s="78"/>
      <c r="L170" s="79"/>
      <c r="M170" s="80"/>
      <c r="N170" s="76"/>
      <c r="O170" s="74"/>
      <c r="P170" s="76"/>
      <c r="Q170" s="76"/>
      <c r="R170" s="76"/>
      <c r="S170" s="76"/>
      <c r="T170" s="76"/>
      <c r="U170" s="76"/>
      <c r="V170" s="76"/>
      <c r="W170" s="76"/>
      <c r="X170" s="81"/>
    </row>
    <row r="171" spans="1:24" ht="15">
      <c r="A171" s="397" t="s">
        <v>156</v>
      </c>
      <c r="B171" s="196" t="s">
        <v>157</v>
      </c>
      <c r="C171" s="197" t="s">
        <v>54</v>
      </c>
      <c r="D171" s="198"/>
      <c r="E171" s="199"/>
      <c r="F171" s="197"/>
      <c r="G171" s="200"/>
      <c r="H171" s="201">
        <f t="shared" si="5"/>
        <v>0.569</v>
      </c>
      <c r="I171" s="261"/>
      <c r="J171" s="203">
        <f>0.284+0.285</f>
        <v>0.569</v>
      </c>
      <c r="K171" s="62"/>
      <c r="L171" s="63"/>
      <c r="M171" s="64"/>
      <c r="N171" s="57"/>
      <c r="O171" s="55"/>
      <c r="P171" s="57"/>
      <c r="Q171" s="57"/>
      <c r="R171" s="57"/>
      <c r="S171" s="57"/>
      <c r="T171" s="57"/>
      <c r="U171" s="57"/>
      <c r="V171" s="57"/>
      <c r="W171" s="57"/>
      <c r="X171" s="65"/>
    </row>
    <row r="172" spans="1:24" ht="15">
      <c r="A172" s="398"/>
      <c r="B172" s="204"/>
      <c r="C172" s="205" t="s">
        <v>55</v>
      </c>
      <c r="D172" s="206"/>
      <c r="E172" s="207"/>
      <c r="F172" s="205"/>
      <c r="G172" s="208"/>
      <c r="H172" s="209">
        <f t="shared" si="5"/>
        <v>2</v>
      </c>
      <c r="I172" s="262"/>
      <c r="J172" s="211">
        <f>1+1</f>
        <v>2</v>
      </c>
      <c r="K172" s="70"/>
      <c r="L172" s="71"/>
      <c r="M172" s="72"/>
      <c r="N172" s="68"/>
      <c r="O172" s="66"/>
      <c r="P172" s="68"/>
      <c r="Q172" s="68"/>
      <c r="R172" s="68"/>
      <c r="S172" s="68"/>
      <c r="T172" s="68"/>
      <c r="U172" s="68"/>
      <c r="V172" s="68"/>
      <c r="W172" s="68"/>
      <c r="X172" s="73"/>
    </row>
    <row r="173" spans="1:24" ht="13.5" thickBot="1">
      <c r="A173" s="399"/>
      <c r="B173" s="212"/>
      <c r="C173" s="213" t="s">
        <v>56</v>
      </c>
      <c r="D173" s="214"/>
      <c r="E173" s="215"/>
      <c r="F173" s="213"/>
      <c r="G173" s="216"/>
      <c r="H173" s="217">
        <f t="shared" si="5"/>
        <v>236.704</v>
      </c>
      <c r="I173" s="263"/>
      <c r="J173" s="219">
        <f>118.352+118.352</f>
        <v>236.704</v>
      </c>
      <c r="K173" s="78"/>
      <c r="L173" s="79"/>
      <c r="M173" s="80"/>
      <c r="N173" s="76"/>
      <c r="O173" s="74"/>
      <c r="P173" s="76"/>
      <c r="Q173" s="76"/>
      <c r="R173" s="76"/>
      <c r="S173" s="76"/>
      <c r="T173" s="76"/>
      <c r="U173" s="76"/>
      <c r="V173" s="76"/>
      <c r="W173" s="76"/>
      <c r="X173" s="81"/>
    </row>
    <row r="174" spans="1:24" ht="15">
      <c r="A174" s="397" t="s">
        <v>158</v>
      </c>
      <c r="B174" s="196" t="s">
        <v>159</v>
      </c>
      <c r="C174" s="197" t="s">
        <v>54</v>
      </c>
      <c r="D174" s="198"/>
      <c r="E174" s="199"/>
      <c r="F174" s="197"/>
      <c r="G174" s="200"/>
      <c r="H174" s="201">
        <f t="shared" si="5"/>
        <v>0.939</v>
      </c>
      <c r="I174" s="202"/>
      <c r="J174" s="203">
        <v>0.939</v>
      </c>
      <c r="K174" s="62"/>
      <c r="L174" s="63"/>
      <c r="M174" s="64"/>
      <c r="N174" s="57"/>
      <c r="O174" s="55"/>
      <c r="P174" s="57"/>
      <c r="Q174" s="57"/>
      <c r="R174" s="57"/>
      <c r="S174" s="57"/>
      <c r="T174" s="57"/>
      <c r="U174" s="57"/>
      <c r="V174" s="57"/>
      <c r="W174" s="57"/>
      <c r="X174" s="65"/>
    </row>
    <row r="175" spans="1:24" ht="15">
      <c r="A175" s="398"/>
      <c r="B175" s="204"/>
      <c r="C175" s="205" t="s">
        <v>55</v>
      </c>
      <c r="D175" s="206"/>
      <c r="E175" s="207"/>
      <c r="F175" s="205"/>
      <c r="G175" s="208"/>
      <c r="H175" s="209">
        <f t="shared" si="5"/>
        <v>2</v>
      </c>
      <c r="I175" s="210"/>
      <c r="J175" s="211">
        <v>2</v>
      </c>
      <c r="K175" s="70"/>
      <c r="L175" s="71"/>
      <c r="M175" s="72"/>
      <c r="N175" s="68"/>
      <c r="O175" s="66"/>
      <c r="P175" s="68"/>
      <c r="Q175" s="68"/>
      <c r="R175" s="68"/>
      <c r="S175" s="68"/>
      <c r="T175" s="68"/>
      <c r="U175" s="68"/>
      <c r="V175" s="68"/>
      <c r="W175" s="68"/>
      <c r="X175" s="73"/>
    </row>
    <row r="176" spans="1:24" ht="13.5" thickBot="1">
      <c r="A176" s="399"/>
      <c r="B176" s="212"/>
      <c r="C176" s="213" t="s">
        <v>56</v>
      </c>
      <c r="D176" s="214"/>
      <c r="E176" s="215"/>
      <c r="F176" s="213"/>
      <c r="G176" s="216"/>
      <c r="H176" s="217">
        <f t="shared" si="5"/>
        <v>263.649</v>
      </c>
      <c r="I176" s="218"/>
      <c r="J176" s="219">
        <v>263.649</v>
      </c>
      <c r="K176" s="78"/>
      <c r="L176" s="79"/>
      <c r="M176" s="80"/>
      <c r="N176" s="76"/>
      <c r="O176" s="74"/>
      <c r="P176" s="76"/>
      <c r="Q176" s="76"/>
      <c r="R176" s="76"/>
      <c r="S176" s="76"/>
      <c r="T176" s="76"/>
      <c r="U176" s="76"/>
      <c r="V176" s="76"/>
      <c r="W176" s="76"/>
      <c r="X176" s="81"/>
    </row>
    <row r="177" spans="1:24" ht="15">
      <c r="A177" s="397" t="s">
        <v>160</v>
      </c>
      <c r="B177" s="116" t="s">
        <v>161</v>
      </c>
      <c r="C177" s="117" t="s">
        <v>54</v>
      </c>
      <c r="D177" s="118"/>
      <c r="E177" s="119"/>
      <c r="F177" s="117"/>
      <c r="G177" s="120"/>
      <c r="H177" s="140">
        <f t="shared" si="5"/>
        <v>0.277</v>
      </c>
      <c r="I177" s="141">
        <v>0.277</v>
      </c>
      <c r="J177" s="142"/>
      <c r="K177" s="62"/>
      <c r="L177" s="63"/>
      <c r="M177" s="64"/>
      <c r="N177" s="57"/>
      <c r="O177" s="55"/>
      <c r="P177" s="57"/>
      <c r="Q177" s="57"/>
      <c r="R177" s="57"/>
      <c r="S177" s="57"/>
      <c r="T177" s="57"/>
      <c r="U177" s="57"/>
      <c r="V177" s="57"/>
      <c r="W177" s="57"/>
      <c r="X177" s="65"/>
    </row>
    <row r="178" spans="1:24" ht="15">
      <c r="A178" s="398"/>
      <c r="B178" s="124"/>
      <c r="C178" s="125" t="s">
        <v>55</v>
      </c>
      <c r="D178" s="126"/>
      <c r="E178" s="127"/>
      <c r="F178" s="125"/>
      <c r="G178" s="128"/>
      <c r="H178" s="129">
        <f t="shared" si="5"/>
        <v>1</v>
      </c>
      <c r="I178" s="130">
        <v>1</v>
      </c>
      <c r="J178" s="131"/>
      <c r="K178" s="70"/>
      <c r="L178" s="71"/>
      <c r="M178" s="72"/>
      <c r="N178" s="68"/>
      <c r="O178" s="66"/>
      <c r="P178" s="68"/>
      <c r="Q178" s="68"/>
      <c r="R178" s="68"/>
      <c r="S178" s="68"/>
      <c r="T178" s="68"/>
      <c r="U178" s="68"/>
      <c r="V178" s="68"/>
      <c r="W178" s="68"/>
      <c r="X178" s="73"/>
    </row>
    <row r="179" spans="1:24" ht="13.5" thickBot="1">
      <c r="A179" s="399"/>
      <c r="B179" s="132"/>
      <c r="C179" s="133" t="s">
        <v>56</v>
      </c>
      <c r="D179" s="134"/>
      <c r="E179" s="135"/>
      <c r="F179" s="133"/>
      <c r="G179" s="136"/>
      <c r="H179" s="143">
        <f t="shared" si="5"/>
        <v>74.708</v>
      </c>
      <c r="I179" s="144">
        <v>74.708</v>
      </c>
      <c r="J179" s="145"/>
      <c r="K179" s="78"/>
      <c r="L179" s="79"/>
      <c r="M179" s="80"/>
      <c r="N179" s="76"/>
      <c r="O179" s="74"/>
      <c r="P179" s="76"/>
      <c r="Q179" s="76"/>
      <c r="R179" s="76"/>
      <c r="S179" s="76"/>
      <c r="T179" s="76"/>
      <c r="U179" s="76"/>
      <c r="V179" s="76"/>
      <c r="W179" s="76"/>
      <c r="X179" s="81"/>
    </row>
    <row r="180" spans="1:24" ht="15">
      <c r="A180" s="397" t="s">
        <v>162</v>
      </c>
      <c r="B180" s="234" t="s">
        <v>163</v>
      </c>
      <c r="C180" s="235" t="s">
        <v>54</v>
      </c>
      <c r="D180" s="236"/>
      <c r="E180" s="237"/>
      <c r="F180" s="235"/>
      <c r="G180" s="238"/>
      <c r="H180" s="239">
        <f t="shared" si="5"/>
        <v>2.487</v>
      </c>
      <c r="I180" s="240"/>
      <c r="J180" s="241">
        <f>1.771+0.716</f>
        <v>2.487</v>
      </c>
      <c r="K180" s="62"/>
      <c r="L180" s="63"/>
      <c r="M180" s="64"/>
      <c r="N180" s="57"/>
      <c r="O180" s="55"/>
      <c r="P180" s="57"/>
      <c r="Q180" s="57"/>
      <c r="R180" s="57"/>
      <c r="S180" s="57"/>
      <c r="T180" s="57"/>
      <c r="U180" s="57"/>
      <c r="V180" s="57"/>
      <c r="W180" s="57"/>
      <c r="X180" s="65"/>
    </row>
    <row r="181" spans="1:24" ht="15">
      <c r="A181" s="398"/>
      <c r="B181" s="242"/>
      <c r="C181" s="243" t="s">
        <v>55</v>
      </c>
      <c r="D181" s="244"/>
      <c r="E181" s="245"/>
      <c r="F181" s="243"/>
      <c r="G181" s="246"/>
      <c r="H181" s="247">
        <f t="shared" si="5"/>
        <v>2</v>
      </c>
      <c r="I181" s="248"/>
      <c r="J181" s="249">
        <f>1+1</f>
        <v>2</v>
      </c>
      <c r="K181" s="70"/>
      <c r="L181" s="71"/>
      <c r="M181" s="72"/>
      <c r="N181" s="68"/>
      <c r="O181" s="66"/>
      <c r="P181" s="68"/>
      <c r="Q181" s="68"/>
      <c r="R181" s="68"/>
      <c r="S181" s="68"/>
      <c r="T181" s="68"/>
      <c r="U181" s="68"/>
      <c r="V181" s="68"/>
      <c r="W181" s="68"/>
      <c r="X181" s="73"/>
    </row>
    <row r="182" spans="1:24" ht="13.5" thickBot="1">
      <c r="A182" s="399"/>
      <c r="B182" s="250"/>
      <c r="C182" s="251" t="s">
        <v>56</v>
      </c>
      <c r="D182" s="252"/>
      <c r="E182" s="253"/>
      <c r="F182" s="251"/>
      <c r="G182" s="254"/>
      <c r="H182" s="255">
        <f t="shared" si="5"/>
        <v>754.307</v>
      </c>
      <c r="I182" s="256"/>
      <c r="J182" s="257">
        <f>553.728+200.579</f>
        <v>754.307</v>
      </c>
      <c r="K182" s="78"/>
      <c r="L182" s="79"/>
      <c r="M182" s="80"/>
      <c r="N182" s="76"/>
      <c r="O182" s="74"/>
      <c r="P182" s="76"/>
      <c r="Q182" s="76"/>
      <c r="R182" s="76"/>
      <c r="S182" s="76"/>
      <c r="T182" s="76"/>
      <c r="U182" s="76"/>
      <c r="V182" s="76"/>
      <c r="W182" s="76"/>
      <c r="X182" s="81"/>
    </row>
    <row r="183" spans="1:24" ht="15">
      <c r="A183" s="397" t="s">
        <v>164</v>
      </c>
      <c r="B183" s="196" t="s">
        <v>165</v>
      </c>
      <c r="C183" s="197" t="s">
        <v>54</v>
      </c>
      <c r="D183" s="198"/>
      <c r="E183" s="199"/>
      <c r="F183" s="197"/>
      <c r="G183" s="200"/>
      <c r="H183" s="220">
        <f t="shared" si="5"/>
        <v>3.918</v>
      </c>
      <c r="I183" s="227"/>
      <c r="J183" s="222">
        <f>2.878+1.04</f>
        <v>3.918</v>
      </c>
      <c r="K183" s="62"/>
      <c r="L183" s="63"/>
      <c r="M183" s="64"/>
      <c r="N183" s="57"/>
      <c r="O183" s="55"/>
      <c r="P183" s="57"/>
      <c r="Q183" s="57"/>
      <c r="R183" s="57"/>
      <c r="S183" s="57"/>
      <c r="T183" s="57"/>
      <c r="U183" s="57"/>
      <c r="V183" s="57"/>
      <c r="W183" s="57"/>
      <c r="X183" s="65"/>
    </row>
    <row r="184" spans="1:24" ht="15">
      <c r="A184" s="398"/>
      <c r="B184" s="204"/>
      <c r="C184" s="205" t="s">
        <v>55</v>
      </c>
      <c r="D184" s="206"/>
      <c r="E184" s="207"/>
      <c r="F184" s="205"/>
      <c r="G184" s="208"/>
      <c r="H184" s="209">
        <f t="shared" si="5"/>
        <v>2</v>
      </c>
      <c r="I184" s="210"/>
      <c r="J184" s="211">
        <f>1+1</f>
        <v>2</v>
      </c>
      <c r="K184" s="70"/>
      <c r="L184" s="71"/>
      <c r="M184" s="72"/>
      <c r="N184" s="68"/>
      <c r="O184" s="66"/>
      <c r="P184" s="68"/>
      <c r="Q184" s="68"/>
      <c r="R184" s="68"/>
      <c r="S184" s="68"/>
      <c r="T184" s="68"/>
      <c r="U184" s="68"/>
      <c r="V184" s="68"/>
      <c r="W184" s="68"/>
      <c r="X184" s="73"/>
    </row>
    <row r="185" spans="1:24" ht="13.5" thickBot="1">
      <c r="A185" s="399"/>
      <c r="B185" s="212"/>
      <c r="C185" s="213" t="s">
        <v>56</v>
      </c>
      <c r="D185" s="214"/>
      <c r="E185" s="215"/>
      <c r="F185" s="213"/>
      <c r="G185" s="216"/>
      <c r="H185" s="224">
        <f t="shared" si="5"/>
        <v>705.81</v>
      </c>
      <c r="I185" s="228"/>
      <c r="J185" s="226">
        <f>502.479+203.331</f>
        <v>705.81</v>
      </c>
      <c r="K185" s="78"/>
      <c r="L185" s="79"/>
      <c r="M185" s="80"/>
      <c r="N185" s="76"/>
      <c r="O185" s="74"/>
      <c r="P185" s="76"/>
      <c r="Q185" s="76"/>
      <c r="R185" s="76"/>
      <c r="S185" s="76"/>
      <c r="T185" s="76"/>
      <c r="U185" s="76"/>
      <c r="V185" s="76"/>
      <c r="W185" s="76"/>
      <c r="X185" s="81"/>
    </row>
    <row r="186" spans="1:24" ht="15">
      <c r="A186" s="397" t="s">
        <v>166</v>
      </c>
      <c r="B186" s="155" t="s">
        <v>167</v>
      </c>
      <c r="C186" s="156" t="s">
        <v>54</v>
      </c>
      <c r="D186" s="157"/>
      <c r="E186" s="158"/>
      <c r="F186" s="156"/>
      <c r="G186" s="159"/>
      <c r="H186" s="179">
        <f t="shared" si="5"/>
        <v>4.363</v>
      </c>
      <c r="I186" s="180"/>
      <c r="J186" s="181">
        <v>4.363</v>
      </c>
      <c r="K186" s="62"/>
      <c r="L186" s="63"/>
      <c r="M186" s="64"/>
      <c r="N186" s="57"/>
      <c r="O186" s="55"/>
      <c r="P186" s="57"/>
      <c r="Q186" s="57"/>
      <c r="R186" s="57"/>
      <c r="S186" s="57"/>
      <c r="T186" s="57"/>
      <c r="U186" s="57"/>
      <c r="V186" s="57"/>
      <c r="W186" s="57"/>
      <c r="X186" s="65"/>
    </row>
    <row r="187" spans="1:24" ht="15">
      <c r="A187" s="398"/>
      <c r="B187" s="163"/>
      <c r="C187" s="164" t="s">
        <v>55</v>
      </c>
      <c r="D187" s="165"/>
      <c r="E187" s="166"/>
      <c r="F187" s="164"/>
      <c r="G187" s="167"/>
      <c r="H187" s="168">
        <f t="shared" si="5"/>
        <v>4</v>
      </c>
      <c r="I187" s="169"/>
      <c r="J187" s="170">
        <v>4</v>
      </c>
      <c r="K187" s="70"/>
      <c r="L187" s="71"/>
      <c r="M187" s="72"/>
      <c r="N187" s="68"/>
      <c r="O187" s="66"/>
      <c r="P187" s="68"/>
      <c r="Q187" s="68"/>
      <c r="R187" s="68"/>
      <c r="S187" s="68"/>
      <c r="T187" s="68"/>
      <c r="U187" s="68"/>
      <c r="V187" s="68"/>
      <c r="W187" s="68"/>
      <c r="X187" s="73"/>
    </row>
    <row r="188" spans="1:24" ht="13.5" thickBot="1">
      <c r="A188" s="399"/>
      <c r="B188" s="171"/>
      <c r="C188" s="172" t="s">
        <v>56</v>
      </c>
      <c r="D188" s="173"/>
      <c r="E188" s="174"/>
      <c r="F188" s="172"/>
      <c r="G188" s="175"/>
      <c r="H188" s="182">
        <f t="shared" si="5"/>
        <v>1275.7440000000001</v>
      </c>
      <c r="I188" s="183"/>
      <c r="J188" s="184">
        <v>1275.7440000000001</v>
      </c>
      <c r="K188" s="78"/>
      <c r="L188" s="79"/>
      <c r="M188" s="80"/>
      <c r="N188" s="76"/>
      <c r="O188" s="74"/>
      <c r="P188" s="76"/>
      <c r="Q188" s="76"/>
      <c r="R188" s="76"/>
      <c r="S188" s="76"/>
      <c r="T188" s="76"/>
      <c r="U188" s="76"/>
      <c r="V188" s="76"/>
      <c r="W188" s="76"/>
      <c r="X188" s="81"/>
    </row>
    <row r="189" spans="1:24" ht="15">
      <c r="A189" s="397" t="s">
        <v>168</v>
      </c>
      <c r="B189" s="196" t="s">
        <v>169</v>
      </c>
      <c r="C189" s="197" t="s">
        <v>54</v>
      </c>
      <c r="D189" s="198"/>
      <c r="E189" s="199"/>
      <c r="F189" s="197"/>
      <c r="G189" s="200"/>
      <c r="H189" s="220">
        <f t="shared" si="5"/>
        <v>3.665</v>
      </c>
      <c r="I189" s="227"/>
      <c r="J189" s="222">
        <f>2.665+1</f>
        <v>3.665</v>
      </c>
      <c r="K189" s="62"/>
      <c r="L189" s="63"/>
      <c r="M189" s="64"/>
      <c r="N189" s="57"/>
      <c r="O189" s="55"/>
      <c r="P189" s="57"/>
      <c r="Q189" s="57"/>
      <c r="R189" s="57"/>
      <c r="S189" s="57"/>
      <c r="T189" s="57"/>
      <c r="U189" s="57"/>
      <c r="V189" s="57"/>
      <c r="W189" s="57"/>
      <c r="X189" s="65"/>
    </row>
    <row r="190" spans="1:24" ht="15">
      <c r="A190" s="398"/>
      <c r="B190" s="204"/>
      <c r="C190" s="205" t="s">
        <v>55</v>
      </c>
      <c r="D190" s="206"/>
      <c r="E190" s="207"/>
      <c r="F190" s="205"/>
      <c r="G190" s="208"/>
      <c r="H190" s="209">
        <f t="shared" si="5"/>
        <v>2</v>
      </c>
      <c r="I190" s="210"/>
      <c r="J190" s="211">
        <f>1+1</f>
        <v>2</v>
      </c>
      <c r="K190" s="70"/>
      <c r="L190" s="71"/>
      <c r="M190" s="72"/>
      <c r="N190" s="68"/>
      <c r="O190" s="66"/>
      <c r="P190" s="68"/>
      <c r="Q190" s="68"/>
      <c r="R190" s="68"/>
      <c r="S190" s="68"/>
      <c r="T190" s="68"/>
      <c r="U190" s="68"/>
      <c r="V190" s="68"/>
      <c r="W190" s="68"/>
      <c r="X190" s="73"/>
    </row>
    <row r="191" spans="1:24" ht="13.5" thickBot="1">
      <c r="A191" s="399"/>
      <c r="B191" s="212"/>
      <c r="C191" s="213" t="s">
        <v>56</v>
      </c>
      <c r="D191" s="214"/>
      <c r="E191" s="215"/>
      <c r="F191" s="213"/>
      <c r="G191" s="216"/>
      <c r="H191" s="224">
        <f t="shared" si="5"/>
        <v>697.252</v>
      </c>
      <c r="I191" s="228"/>
      <c r="J191" s="226">
        <f>505.379+191.873</f>
        <v>697.252</v>
      </c>
      <c r="K191" s="78"/>
      <c r="L191" s="79"/>
      <c r="M191" s="80"/>
      <c r="N191" s="76"/>
      <c r="O191" s="74"/>
      <c r="P191" s="76"/>
      <c r="Q191" s="76"/>
      <c r="R191" s="76"/>
      <c r="S191" s="76"/>
      <c r="T191" s="76"/>
      <c r="U191" s="76"/>
      <c r="V191" s="76"/>
      <c r="W191" s="76"/>
      <c r="X191" s="81"/>
    </row>
    <row r="192" spans="1:24" ht="15">
      <c r="A192" s="397" t="s">
        <v>170</v>
      </c>
      <c r="B192" s="155" t="s">
        <v>171</v>
      </c>
      <c r="C192" s="156" t="s">
        <v>54</v>
      </c>
      <c r="D192" s="157"/>
      <c r="E192" s="158"/>
      <c r="F192" s="156"/>
      <c r="G192" s="159"/>
      <c r="H192" s="179">
        <f t="shared" si="5"/>
        <v>0.336</v>
      </c>
      <c r="I192" s="180"/>
      <c r="J192" s="181">
        <v>0.336</v>
      </c>
      <c r="K192" s="62"/>
      <c r="L192" s="63"/>
      <c r="M192" s="64"/>
      <c r="N192" s="57"/>
      <c r="O192" s="55"/>
      <c r="P192" s="57"/>
      <c r="Q192" s="57"/>
      <c r="R192" s="57"/>
      <c r="S192" s="57"/>
      <c r="T192" s="57"/>
      <c r="U192" s="57"/>
      <c r="V192" s="57"/>
      <c r="W192" s="57"/>
      <c r="X192" s="65"/>
    </row>
    <row r="193" spans="1:24" ht="15">
      <c r="A193" s="398"/>
      <c r="B193" s="163"/>
      <c r="C193" s="164" t="s">
        <v>55</v>
      </c>
      <c r="D193" s="165"/>
      <c r="E193" s="166"/>
      <c r="F193" s="164"/>
      <c r="G193" s="167"/>
      <c r="H193" s="168">
        <f t="shared" si="5"/>
        <v>1</v>
      </c>
      <c r="I193" s="169"/>
      <c r="J193" s="170">
        <v>1</v>
      </c>
      <c r="K193" s="70"/>
      <c r="L193" s="71"/>
      <c r="M193" s="72"/>
      <c r="N193" s="68"/>
      <c r="O193" s="66"/>
      <c r="P193" s="68"/>
      <c r="Q193" s="68"/>
      <c r="R193" s="68"/>
      <c r="S193" s="68"/>
      <c r="T193" s="68"/>
      <c r="U193" s="68"/>
      <c r="V193" s="68"/>
      <c r="W193" s="68"/>
      <c r="X193" s="73"/>
    </row>
    <row r="194" spans="1:24" ht="13.5" thickBot="1">
      <c r="A194" s="399"/>
      <c r="B194" s="171"/>
      <c r="C194" s="172" t="s">
        <v>56</v>
      </c>
      <c r="D194" s="173"/>
      <c r="E194" s="174"/>
      <c r="F194" s="172"/>
      <c r="G194" s="175"/>
      <c r="H194" s="182">
        <f t="shared" si="5"/>
        <v>110.834</v>
      </c>
      <c r="I194" s="183"/>
      <c r="J194" s="184">
        <v>110.834</v>
      </c>
      <c r="K194" s="78"/>
      <c r="L194" s="79"/>
      <c r="M194" s="80"/>
      <c r="N194" s="76"/>
      <c r="O194" s="74"/>
      <c r="P194" s="76"/>
      <c r="Q194" s="76"/>
      <c r="R194" s="76"/>
      <c r="S194" s="76"/>
      <c r="T194" s="76"/>
      <c r="U194" s="76"/>
      <c r="V194" s="76"/>
      <c r="W194" s="76"/>
      <c r="X194" s="81"/>
    </row>
    <row r="195" spans="1:24" ht="15">
      <c r="A195" s="397" t="s">
        <v>172</v>
      </c>
      <c r="B195" s="155" t="s">
        <v>173</v>
      </c>
      <c r="C195" s="156" t="s">
        <v>54</v>
      </c>
      <c r="D195" s="157"/>
      <c r="E195" s="158"/>
      <c r="F195" s="156"/>
      <c r="G195" s="159"/>
      <c r="H195" s="160">
        <f t="shared" si="5"/>
        <v>0.426</v>
      </c>
      <c r="I195" s="161"/>
      <c r="J195" s="162">
        <v>0.426</v>
      </c>
      <c r="K195" s="62"/>
      <c r="L195" s="63"/>
      <c r="M195" s="64"/>
      <c r="N195" s="57"/>
      <c r="O195" s="55"/>
      <c r="P195" s="57"/>
      <c r="Q195" s="57"/>
      <c r="R195" s="57"/>
      <c r="S195" s="57"/>
      <c r="T195" s="57"/>
      <c r="U195" s="57"/>
      <c r="V195" s="57"/>
      <c r="W195" s="57"/>
      <c r="X195" s="65"/>
    </row>
    <row r="196" spans="1:24" ht="15">
      <c r="A196" s="398"/>
      <c r="B196" s="163"/>
      <c r="C196" s="164" t="s">
        <v>55</v>
      </c>
      <c r="D196" s="165"/>
      <c r="E196" s="166"/>
      <c r="F196" s="164"/>
      <c r="G196" s="167"/>
      <c r="H196" s="168">
        <f t="shared" si="5"/>
        <v>1</v>
      </c>
      <c r="I196" s="169"/>
      <c r="J196" s="170">
        <v>1</v>
      </c>
      <c r="K196" s="70"/>
      <c r="L196" s="71"/>
      <c r="M196" s="72"/>
      <c r="N196" s="68"/>
      <c r="O196" s="66"/>
      <c r="P196" s="68"/>
      <c r="Q196" s="68"/>
      <c r="R196" s="68"/>
      <c r="S196" s="68"/>
      <c r="T196" s="68"/>
      <c r="U196" s="68"/>
      <c r="V196" s="68"/>
      <c r="W196" s="68"/>
      <c r="X196" s="73"/>
    </row>
    <row r="197" spans="1:24" ht="13.5" thickBot="1">
      <c r="A197" s="399"/>
      <c r="B197" s="171"/>
      <c r="C197" s="172" t="s">
        <v>56</v>
      </c>
      <c r="D197" s="173"/>
      <c r="E197" s="174"/>
      <c r="F197" s="172"/>
      <c r="G197" s="175"/>
      <c r="H197" s="176">
        <f t="shared" si="5"/>
        <v>107.498</v>
      </c>
      <c r="I197" s="177"/>
      <c r="J197" s="178">
        <v>107.498</v>
      </c>
      <c r="K197" s="78"/>
      <c r="L197" s="79"/>
      <c r="M197" s="80"/>
      <c r="N197" s="76"/>
      <c r="O197" s="74"/>
      <c r="P197" s="76"/>
      <c r="Q197" s="76"/>
      <c r="R197" s="76"/>
      <c r="S197" s="76"/>
      <c r="T197" s="76"/>
      <c r="U197" s="76"/>
      <c r="V197" s="76"/>
      <c r="W197" s="76"/>
      <c r="X197" s="81"/>
    </row>
    <row r="198" spans="1:24" ht="15">
      <c r="A198" s="397" t="s">
        <v>174</v>
      </c>
      <c r="B198" s="155" t="s">
        <v>175</v>
      </c>
      <c r="C198" s="156" t="s">
        <v>54</v>
      </c>
      <c r="D198" s="157"/>
      <c r="E198" s="158"/>
      <c r="F198" s="156"/>
      <c r="G198" s="159"/>
      <c r="H198" s="179">
        <f t="shared" si="5"/>
        <v>0.8140000000000001</v>
      </c>
      <c r="I198" s="180"/>
      <c r="J198" s="181">
        <v>0.8140000000000001</v>
      </c>
      <c r="K198" s="62"/>
      <c r="L198" s="63"/>
      <c r="M198" s="64"/>
      <c r="N198" s="57"/>
      <c r="O198" s="55"/>
      <c r="P198" s="57"/>
      <c r="Q198" s="57"/>
      <c r="R198" s="57"/>
      <c r="S198" s="57"/>
      <c r="T198" s="57"/>
      <c r="U198" s="57"/>
      <c r="V198" s="57"/>
      <c r="W198" s="57"/>
      <c r="X198" s="65"/>
    </row>
    <row r="199" spans="1:24" ht="15">
      <c r="A199" s="398"/>
      <c r="B199" s="163"/>
      <c r="C199" s="164" t="s">
        <v>55</v>
      </c>
      <c r="D199" s="165"/>
      <c r="E199" s="166"/>
      <c r="F199" s="164"/>
      <c r="G199" s="167"/>
      <c r="H199" s="168">
        <f t="shared" si="5"/>
        <v>2</v>
      </c>
      <c r="I199" s="169"/>
      <c r="J199" s="170">
        <v>2</v>
      </c>
      <c r="K199" s="70"/>
      <c r="L199" s="71"/>
      <c r="M199" s="72"/>
      <c r="N199" s="68"/>
      <c r="O199" s="66"/>
      <c r="P199" s="68"/>
      <c r="Q199" s="68"/>
      <c r="R199" s="68"/>
      <c r="S199" s="68"/>
      <c r="T199" s="68"/>
      <c r="U199" s="68"/>
      <c r="V199" s="68"/>
      <c r="W199" s="68"/>
      <c r="X199" s="73"/>
    </row>
    <row r="200" spans="1:24" ht="13.5" thickBot="1">
      <c r="A200" s="399"/>
      <c r="B200" s="171"/>
      <c r="C200" s="172" t="s">
        <v>56</v>
      </c>
      <c r="D200" s="173"/>
      <c r="E200" s="174"/>
      <c r="F200" s="172"/>
      <c r="G200" s="175"/>
      <c r="H200" s="182">
        <f t="shared" si="5"/>
        <v>253.14999999999998</v>
      </c>
      <c r="I200" s="183"/>
      <c r="J200" s="184">
        <v>253.14999999999998</v>
      </c>
      <c r="K200" s="78"/>
      <c r="L200" s="79"/>
      <c r="M200" s="80"/>
      <c r="N200" s="76"/>
      <c r="O200" s="74"/>
      <c r="P200" s="76"/>
      <c r="Q200" s="76"/>
      <c r="R200" s="76"/>
      <c r="S200" s="76"/>
      <c r="T200" s="76"/>
      <c r="U200" s="76"/>
      <c r="V200" s="76"/>
      <c r="W200" s="76"/>
      <c r="X200" s="81"/>
    </row>
    <row r="201" spans="1:24" ht="15">
      <c r="A201" s="397" t="s">
        <v>176</v>
      </c>
      <c r="B201" s="155" t="s">
        <v>177</v>
      </c>
      <c r="C201" s="156" t="s">
        <v>54</v>
      </c>
      <c r="D201" s="157"/>
      <c r="E201" s="158"/>
      <c r="F201" s="156"/>
      <c r="G201" s="159"/>
      <c r="H201" s="160">
        <f t="shared" si="5"/>
        <v>1.8679999999999999</v>
      </c>
      <c r="I201" s="161"/>
      <c r="J201" s="188">
        <f>1.486+0.382</f>
        <v>1.8679999999999999</v>
      </c>
      <c r="K201" s="62"/>
      <c r="L201" s="63"/>
      <c r="M201" s="64"/>
      <c r="N201" s="57"/>
      <c r="O201" s="55"/>
      <c r="P201" s="57"/>
      <c r="Q201" s="57"/>
      <c r="R201" s="57"/>
      <c r="S201" s="57"/>
      <c r="T201" s="57"/>
      <c r="U201" s="57"/>
      <c r="V201" s="57"/>
      <c r="W201" s="57"/>
      <c r="X201" s="65"/>
    </row>
    <row r="202" spans="1:24" ht="15">
      <c r="A202" s="398"/>
      <c r="B202" s="163"/>
      <c r="C202" s="164" t="s">
        <v>55</v>
      </c>
      <c r="D202" s="165"/>
      <c r="E202" s="166"/>
      <c r="F202" s="164"/>
      <c r="G202" s="167"/>
      <c r="H202" s="168">
        <f t="shared" si="5"/>
        <v>2</v>
      </c>
      <c r="I202" s="169"/>
      <c r="J202" s="189">
        <f>1+1</f>
        <v>2</v>
      </c>
      <c r="K202" s="70"/>
      <c r="L202" s="71"/>
      <c r="M202" s="72"/>
      <c r="N202" s="68"/>
      <c r="O202" s="66"/>
      <c r="P202" s="68"/>
      <c r="Q202" s="68"/>
      <c r="R202" s="68"/>
      <c r="S202" s="68"/>
      <c r="T202" s="68"/>
      <c r="U202" s="68"/>
      <c r="V202" s="68"/>
      <c r="W202" s="68"/>
      <c r="X202" s="73"/>
    </row>
    <row r="203" spans="1:24" ht="13.5" thickBot="1">
      <c r="A203" s="399"/>
      <c r="B203" s="171"/>
      <c r="C203" s="172" t="s">
        <v>56</v>
      </c>
      <c r="D203" s="173"/>
      <c r="E203" s="174"/>
      <c r="F203" s="172"/>
      <c r="G203" s="175"/>
      <c r="H203" s="176">
        <f t="shared" si="5"/>
        <v>423.584</v>
      </c>
      <c r="I203" s="177"/>
      <c r="J203" s="190">
        <f>301.005+122.579</f>
        <v>423.584</v>
      </c>
      <c r="K203" s="78"/>
      <c r="L203" s="79"/>
      <c r="M203" s="80"/>
      <c r="N203" s="76"/>
      <c r="O203" s="74"/>
      <c r="P203" s="76"/>
      <c r="Q203" s="76"/>
      <c r="R203" s="76"/>
      <c r="S203" s="76"/>
      <c r="T203" s="76"/>
      <c r="U203" s="76"/>
      <c r="V203" s="76"/>
      <c r="W203" s="76"/>
      <c r="X203" s="81"/>
    </row>
    <row r="204" spans="1:24" ht="15">
      <c r="A204" s="397" t="s">
        <v>178</v>
      </c>
      <c r="B204" s="234" t="s">
        <v>179</v>
      </c>
      <c r="C204" s="235" t="s">
        <v>54</v>
      </c>
      <c r="D204" s="236"/>
      <c r="E204" s="237"/>
      <c r="F204" s="235"/>
      <c r="G204" s="238"/>
      <c r="H204" s="239">
        <f t="shared" si="5"/>
        <v>0.628</v>
      </c>
      <c r="I204" s="240"/>
      <c r="J204" s="241">
        <v>0.628</v>
      </c>
      <c r="K204" s="62"/>
      <c r="L204" s="63"/>
      <c r="M204" s="64"/>
      <c r="N204" s="57"/>
      <c r="O204" s="55"/>
      <c r="P204" s="57"/>
      <c r="Q204" s="57"/>
      <c r="R204" s="57"/>
      <c r="S204" s="57"/>
      <c r="T204" s="57"/>
      <c r="U204" s="57"/>
      <c r="V204" s="57"/>
      <c r="W204" s="57"/>
      <c r="X204" s="65"/>
    </row>
    <row r="205" spans="1:24" ht="15">
      <c r="A205" s="398"/>
      <c r="B205" s="242"/>
      <c r="C205" s="243" t="s">
        <v>55</v>
      </c>
      <c r="D205" s="244"/>
      <c r="E205" s="245"/>
      <c r="F205" s="243"/>
      <c r="G205" s="246"/>
      <c r="H205" s="247">
        <f t="shared" si="5"/>
        <v>2</v>
      </c>
      <c r="I205" s="248"/>
      <c r="J205" s="249">
        <v>2</v>
      </c>
      <c r="K205" s="70"/>
      <c r="L205" s="71"/>
      <c r="M205" s="72"/>
      <c r="N205" s="68"/>
      <c r="O205" s="66"/>
      <c r="P205" s="68"/>
      <c r="Q205" s="68"/>
      <c r="R205" s="68"/>
      <c r="S205" s="68"/>
      <c r="T205" s="68"/>
      <c r="U205" s="68"/>
      <c r="V205" s="68"/>
      <c r="W205" s="68"/>
      <c r="X205" s="73"/>
    </row>
    <row r="206" spans="1:24" ht="13.5" thickBot="1">
      <c r="A206" s="399"/>
      <c r="B206" s="250"/>
      <c r="C206" s="251" t="s">
        <v>56</v>
      </c>
      <c r="D206" s="252"/>
      <c r="E206" s="253"/>
      <c r="F206" s="251"/>
      <c r="G206" s="254"/>
      <c r="H206" s="255">
        <f t="shared" si="5"/>
        <v>265.52700000000004</v>
      </c>
      <c r="I206" s="256"/>
      <c r="J206" s="257">
        <v>265.52700000000004</v>
      </c>
      <c r="K206" s="78"/>
      <c r="L206" s="79"/>
      <c r="M206" s="80"/>
      <c r="N206" s="76"/>
      <c r="O206" s="74"/>
      <c r="P206" s="76"/>
      <c r="Q206" s="76"/>
      <c r="R206" s="76"/>
      <c r="S206" s="76"/>
      <c r="T206" s="76"/>
      <c r="U206" s="76"/>
      <c r="V206" s="76"/>
      <c r="W206" s="76"/>
      <c r="X206" s="81"/>
    </row>
    <row r="207" spans="1:24" ht="15">
      <c r="A207" s="397" t="s">
        <v>180</v>
      </c>
      <c r="B207" s="155" t="s">
        <v>181</v>
      </c>
      <c r="C207" s="156" t="s">
        <v>54</v>
      </c>
      <c r="D207" s="157"/>
      <c r="E207" s="158"/>
      <c r="F207" s="156"/>
      <c r="G207" s="159"/>
      <c r="H207" s="160">
        <f t="shared" si="5"/>
        <v>0.737</v>
      </c>
      <c r="I207" s="161"/>
      <c r="J207" s="162">
        <v>0.737</v>
      </c>
      <c r="K207" s="62"/>
      <c r="L207" s="63"/>
      <c r="M207" s="64"/>
      <c r="N207" s="57"/>
      <c r="O207" s="55"/>
      <c r="P207" s="57"/>
      <c r="Q207" s="57"/>
      <c r="R207" s="57"/>
      <c r="S207" s="57"/>
      <c r="T207" s="57"/>
      <c r="U207" s="57"/>
      <c r="V207" s="57"/>
      <c r="W207" s="57"/>
      <c r="X207" s="65"/>
    </row>
    <row r="208" spans="1:24" ht="15">
      <c r="A208" s="398"/>
      <c r="B208" s="163"/>
      <c r="C208" s="164" t="s">
        <v>55</v>
      </c>
      <c r="D208" s="165"/>
      <c r="E208" s="166"/>
      <c r="F208" s="164"/>
      <c r="G208" s="167"/>
      <c r="H208" s="168">
        <f t="shared" si="5"/>
        <v>2</v>
      </c>
      <c r="I208" s="169"/>
      <c r="J208" s="170">
        <v>2</v>
      </c>
      <c r="K208" s="70"/>
      <c r="L208" s="71"/>
      <c r="M208" s="72"/>
      <c r="N208" s="68"/>
      <c r="O208" s="66"/>
      <c r="P208" s="68"/>
      <c r="Q208" s="68"/>
      <c r="R208" s="68"/>
      <c r="S208" s="68"/>
      <c r="T208" s="68"/>
      <c r="U208" s="68"/>
      <c r="V208" s="68"/>
      <c r="W208" s="68"/>
      <c r="X208" s="73"/>
    </row>
    <row r="209" spans="1:24" ht="13.5" thickBot="1">
      <c r="A209" s="399"/>
      <c r="B209" s="171"/>
      <c r="C209" s="172" t="s">
        <v>56</v>
      </c>
      <c r="D209" s="173"/>
      <c r="E209" s="174"/>
      <c r="F209" s="172"/>
      <c r="G209" s="175"/>
      <c r="H209" s="176">
        <f t="shared" si="5"/>
        <v>257.81399999999996</v>
      </c>
      <c r="I209" s="177"/>
      <c r="J209" s="178">
        <v>257.81399999999996</v>
      </c>
      <c r="K209" s="78"/>
      <c r="L209" s="79"/>
      <c r="M209" s="80"/>
      <c r="N209" s="76"/>
      <c r="O209" s="74"/>
      <c r="P209" s="76"/>
      <c r="Q209" s="76"/>
      <c r="R209" s="76"/>
      <c r="S209" s="76"/>
      <c r="T209" s="76"/>
      <c r="U209" s="76"/>
      <c r="V209" s="76"/>
      <c r="W209" s="76"/>
      <c r="X209" s="81"/>
    </row>
    <row r="210" spans="1:24" ht="15">
      <c r="A210" s="397" t="s">
        <v>182</v>
      </c>
      <c r="B210" s="196" t="s">
        <v>183</v>
      </c>
      <c r="C210" s="197" t="s">
        <v>54</v>
      </c>
      <c r="D210" s="198"/>
      <c r="E210" s="199"/>
      <c r="F210" s="197"/>
      <c r="G210" s="200"/>
      <c r="H210" s="201">
        <f t="shared" si="5"/>
        <v>0.746</v>
      </c>
      <c r="I210" s="202"/>
      <c r="J210" s="203">
        <v>0.746</v>
      </c>
      <c r="K210" s="62"/>
      <c r="L210" s="63"/>
      <c r="M210" s="64"/>
      <c r="N210" s="57"/>
      <c r="O210" s="55"/>
      <c r="P210" s="57"/>
      <c r="Q210" s="57"/>
      <c r="R210" s="57"/>
      <c r="S210" s="57"/>
      <c r="T210" s="57"/>
      <c r="U210" s="57"/>
      <c r="V210" s="57"/>
      <c r="W210" s="57"/>
      <c r="X210" s="65"/>
    </row>
    <row r="211" spans="1:24" ht="15">
      <c r="A211" s="398"/>
      <c r="B211" s="204"/>
      <c r="C211" s="205" t="s">
        <v>55</v>
      </c>
      <c r="D211" s="206"/>
      <c r="E211" s="207"/>
      <c r="F211" s="205"/>
      <c r="G211" s="208"/>
      <c r="H211" s="209">
        <f t="shared" si="5"/>
        <v>2</v>
      </c>
      <c r="I211" s="210"/>
      <c r="J211" s="211">
        <v>2</v>
      </c>
      <c r="K211" s="70"/>
      <c r="L211" s="71"/>
      <c r="M211" s="72"/>
      <c r="N211" s="68"/>
      <c r="O211" s="66"/>
      <c r="P211" s="68"/>
      <c r="Q211" s="68"/>
      <c r="R211" s="68"/>
      <c r="S211" s="68"/>
      <c r="T211" s="68"/>
      <c r="U211" s="68"/>
      <c r="V211" s="68"/>
      <c r="W211" s="68"/>
      <c r="X211" s="73"/>
    </row>
    <row r="212" spans="1:24" ht="13.5" thickBot="1">
      <c r="A212" s="399"/>
      <c r="B212" s="212"/>
      <c r="C212" s="213" t="s">
        <v>56</v>
      </c>
      <c r="D212" s="214"/>
      <c r="E212" s="215"/>
      <c r="F212" s="213"/>
      <c r="G212" s="216"/>
      <c r="H212" s="217">
        <f t="shared" si="5"/>
        <v>221.478</v>
      </c>
      <c r="I212" s="218"/>
      <c r="J212" s="219">
        <v>221.478</v>
      </c>
      <c r="K212" s="78"/>
      <c r="L212" s="79"/>
      <c r="M212" s="80"/>
      <c r="N212" s="76"/>
      <c r="O212" s="74"/>
      <c r="P212" s="76"/>
      <c r="Q212" s="76"/>
      <c r="R212" s="76"/>
      <c r="S212" s="76"/>
      <c r="T212" s="76"/>
      <c r="U212" s="76"/>
      <c r="V212" s="76"/>
      <c r="W212" s="76"/>
      <c r="X212" s="81"/>
    </row>
    <row r="213" spans="1:24" ht="15">
      <c r="A213" s="397" t="s">
        <v>184</v>
      </c>
      <c r="B213" s="116" t="s">
        <v>185</v>
      </c>
      <c r="C213" s="117" t="s">
        <v>54</v>
      </c>
      <c r="D213" s="118"/>
      <c r="E213" s="119"/>
      <c r="F213" s="117"/>
      <c r="G213" s="120"/>
      <c r="H213" s="140">
        <f t="shared" si="5"/>
        <v>0.8679999999999999</v>
      </c>
      <c r="I213" s="141">
        <f>0.29+0.289+0.289</f>
        <v>0.8679999999999999</v>
      </c>
      <c r="J213" s="142"/>
      <c r="K213" s="62"/>
      <c r="L213" s="63"/>
      <c r="M213" s="64"/>
      <c r="N213" s="57"/>
      <c r="O213" s="55"/>
      <c r="P213" s="57"/>
      <c r="Q213" s="57"/>
      <c r="R213" s="57"/>
      <c r="S213" s="57"/>
      <c r="T213" s="57"/>
      <c r="U213" s="57"/>
      <c r="V213" s="57"/>
      <c r="W213" s="57"/>
      <c r="X213" s="65"/>
    </row>
    <row r="214" spans="1:24" ht="15">
      <c r="A214" s="398"/>
      <c r="B214" s="124"/>
      <c r="C214" s="125" t="s">
        <v>55</v>
      </c>
      <c r="D214" s="126"/>
      <c r="E214" s="127"/>
      <c r="F214" s="125"/>
      <c r="G214" s="128"/>
      <c r="H214" s="129">
        <f t="shared" si="5"/>
        <v>3</v>
      </c>
      <c r="I214" s="130">
        <f>1+1+1</f>
        <v>3</v>
      </c>
      <c r="J214" s="131"/>
      <c r="K214" s="70"/>
      <c r="L214" s="71"/>
      <c r="M214" s="72"/>
      <c r="N214" s="68"/>
      <c r="O214" s="66"/>
      <c r="P214" s="68"/>
      <c r="Q214" s="68"/>
      <c r="R214" s="68"/>
      <c r="S214" s="68"/>
      <c r="T214" s="68"/>
      <c r="U214" s="68"/>
      <c r="V214" s="68"/>
      <c r="W214" s="68"/>
      <c r="X214" s="73"/>
    </row>
    <row r="215" spans="1:24" ht="13.5" thickBot="1">
      <c r="A215" s="399"/>
      <c r="B215" s="132"/>
      <c r="C215" s="133" t="s">
        <v>56</v>
      </c>
      <c r="D215" s="134"/>
      <c r="E215" s="135"/>
      <c r="F215" s="133"/>
      <c r="G215" s="136"/>
      <c r="H215" s="143">
        <f t="shared" si="5"/>
        <v>230.498</v>
      </c>
      <c r="I215" s="144">
        <f>77.657+77.11+75.731</f>
        <v>230.498</v>
      </c>
      <c r="J215" s="145"/>
      <c r="K215" s="78"/>
      <c r="L215" s="79"/>
      <c r="M215" s="80"/>
      <c r="N215" s="76"/>
      <c r="O215" s="74"/>
      <c r="P215" s="76"/>
      <c r="Q215" s="76"/>
      <c r="R215" s="76"/>
      <c r="S215" s="76"/>
      <c r="T215" s="76"/>
      <c r="U215" s="76"/>
      <c r="V215" s="76"/>
      <c r="W215" s="76"/>
      <c r="X215" s="81"/>
    </row>
    <row r="216" spans="1:24" ht="15">
      <c r="A216" s="397" t="s">
        <v>186</v>
      </c>
      <c r="B216" s="196" t="s">
        <v>187</v>
      </c>
      <c r="C216" s="197" t="s">
        <v>54</v>
      </c>
      <c r="D216" s="198"/>
      <c r="E216" s="199"/>
      <c r="F216" s="197"/>
      <c r="G216" s="200"/>
      <c r="H216" s="201">
        <f t="shared" si="5"/>
        <v>1.4709999999999999</v>
      </c>
      <c r="I216" s="202"/>
      <c r="J216" s="261">
        <f>0.586+0.425+0.46</f>
        <v>1.4709999999999999</v>
      </c>
      <c r="K216" s="62"/>
      <c r="L216" s="63"/>
      <c r="M216" s="64"/>
      <c r="N216" s="57"/>
      <c r="O216" s="55"/>
      <c r="P216" s="57"/>
      <c r="Q216" s="57"/>
      <c r="R216" s="57"/>
      <c r="S216" s="57"/>
      <c r="T216" s="57"/>
      <c r="U216" s="57"/>
      <c r="V216" s="57"/>
      <c r="W216" s="57"/>
      <c r="X216" s="65"/>
    </row>
    <row r="217" spans="1:24" ht="15">
      <c r="A217" s="398"/>
      <c r="B217" s="204"/>
      <c r="C217" s="205" t="s">
        <v>55</v>
      </c>
      <c r="D217" s="206"/>
      <c r="E217" s="207"/>
      <c r="F217" s="205"/>
      <c r="G217" s="208"/>
      <c r="H217" s="209">
        <f t="shared" si="5"/>
        <v>3</v>
      </c>
      <c r="I217" s="210"/>
      <c r="J217" s="262">
        <f>1+1+1</f>
        <v>3</v>
      </c>
      <c r="K217" s="70"/>
      <c r="L217" s="71"/>
      <c r="M217" s="72"/>
      <c r="N217" s="68"/>
      <c r="O217" s="66"/>
      <c r="P217" s="68"/>
      <c r="Q217" s="68"/>
      <c r="R217" s="68"/>
      <c r="S217" s="68"/>
      <c r="T217" s="68"/>
      <c r="U217" s="68"/>
      <c r="V217" s="68"/>
      <c r="W217" s="68"/>
      <c r="X217" s="73"/>
    </row>
    <row r="218" spans="1:24" ht="13.5" thickBot="1">
      <c r="A218" s="399"/>
      <c r="B218" s="212"/>
      <c r="C218" s="213" t="s">
        <v>56</v>
      </c>
      <c r="D218" s="214"/>
      <c r="E218" s="215"/>
      <c r="F218" s="213"/>
      <c r="G218" s="216"/>
      <c r="H218" s="217">
        <f t="shared" si="5"/>
        <v>439.264</v>
      </c>
      <c r="I218" s="218"/>
      <c r="J218" s="263">
        <f>161.79+134.886+142.588</f>
        <v>439.264</v>
      </c>
      <c r="K218" s="78"/>
      <c r="L218" s="79"/>
      <c r="M218" s="80"/>
      <c r="N218" s="76"/>
      <c r="O218" s="74"/>
      <c r="P218" s="76"/>
      <c r="Q218" s="76"/>
      <c r="R218" s="76"/>
      <c r="S218" s="76"/>
      <c r="T218" s="76"/>
      <c r="U218" s="76"/>
      <c r="V218" s="76"/>
      <c r="W218" s="76"/>
      <c r="X218" s="81"/>
    </row>
    <row r="219" spans="1:24" ht="15">
      <c r="A219" s="397" t="s">
        <v>188</v>
      </c>
      <c r="B219" s="196" t="s">
        <v>189</v>
      </c>
      <c r="C219" s="197" t="s">
        <v>54</v>
      </c>
      <c r="D219" s="198"/>
      <c r="E219" s="199"/>
      <c r="F219" s="197"/>
      <c r="G219" s="200"/>
      <c r="H219" s="220">
        <f t="shared" si="5"/>
        <v>0.287</v>
      </c>
      <c r="I219" s="267"/>
      <c r="J219" s="268">
        <v>0.287</v>
      </c>
      <c r="K219" s="62"/>
      <c r="L219" s="63"/>
      <c r="M219" s="64"/>
      <c r="N219" s="57"/>
      <c r="O219" s="55"/>
      <c r="P219" s="57"/>
      <c r="Q219" s="57"/>
      <c r="R219" s="57"/>
      <c r="S219" s="57"/>
      <c r="T219" s="57"/>
      <c r="U219" s="57"/>
      <c r="V219" s="57"/>
      <c r="W219" s="57"/>
      <c r="X219" s="65"/>
    </row>
    <row r="220" spans="1:24" ht="15">
      <c r="A220" s="398"/>
      <c r="B220" s="204"/>
      <c r="C220" s="205" t="s">
        <v>55</v>
      </c>
      <c r="D220" s="206"/>
      <c r="E220" s="207"/>
      <c r="F220" s="205"/>
      <c r="G220" s="208"/>
      <c r="H220" s="209">
        <f aca="true" t="shared" si="6" ref="H220:H278">I220+J220</f>
        <v>1</v>
      </c>
      <c r="I220" s="262"/>
      <c r="J220" s="269">
        <v>1</v>
      </c>
      <c r="K220" s="70"/>
      <c r="L220" s="71"/>
      <c r="M220" s="72"/>
      <c r="N220" s="68"/>
      <c r="O220" s="66"/>
      <c r="P220" s="68"/>
      <c r="Q220" s="68"/>
      <c r="R220" s="68"/>
      <c r="S220" s="68"/>
      <c r="T220" s="68"/>
      <c r="U220" s="68"/>
      <c r="V220" s="68"/>
      <c r="W220" s="68"/>
      <c r="X220" s="73"/>
    </row>
    <row r="221" spans="1:24" ht="13.5" thickBot="1">
      <c r="A221" s="399"/>
      <c r="B221" s="212"/>
      <c r="C221" s="213" t="s">
        <v>56</v>
      </c>
      <c r="D221" s="214"/>
      <c r="E221" s="215"/>
      <c r="F221" s="213"/>
      <c r="G221" s="216"/>
      <c r="H221" s="224">
        <f t="shared" si="6"/>
        <v>89.675</v>
      </c>
      <c r="I221" s="270"/>
      <c r="J221" s="271">
        <v>89.675</v>
      </c>
      <c r="K221" s="78"/>
      <c r="L221" s="79"/>
      <c r="M221" s="80"/>
      <c r="N221" s="76"/>
      <c r="O221" s="74"/>
      <c r="P221" s="76"/>
      <c r="Q221" s="76"/>
      <c r="R221" s="76"/>
      <c r="S221" s="76"/>
      <c r="T221" s="76"/>
      <c r="U221" s="76"/>
      <c r="V221" s="76"/>
      <c r="W221" s="76"/>
      <c r="X221" s="81"/>
    </row>
    <row r="222" spans="1:24" ht="15">
      <c r="A222" s="397" t="s">
        <v>190</v>
      </c>
      <c r="B222" s="155" t="s">
        <v>191</v>
      </c>
      <c r="C222" s="156" t="s">
        <v>54</v>
      </c>
      <c r="D222" s="157"/>
      <c r="E222" s="158"/>
      <c r="F222" s="156"/>
      <c r="G222" s="159"/>
      <c r="H222" s="179">
        <f t="shared" si="6"/>
        <v>0.555</v>
      </c>
      <c r="I222" s="188"/>
      <c r="J222" s="264">
        <v>0.555</v>
      </c>
      <c r="K222" s="62"/>
      <c r="L222" s="63"/>
      <c r="M222" s="64"/>
      <c r="N222" s="57"/>
      <c r="O222" s="55"/>
      <c r="P222" s="57"/>
      <c r="Q222" s="57"/>
      <c r="R222" s="57"/>
      <c r="S222" s="57"/>
      <c r="T222" s="57"/>
      <c r="U222" s="57"/>
      <c r="V222" s="57"/>
      <c r="W222" s="57"/>
      <c r="X222" s="65"/>
    </row>
    <row r="223" spans="1:24" ht="15">
      <c r="A223" s="398"/>
      <c r="B223" s="163"/>
      <c r="C223" s="164" t="s">
        <v>55</v>
      </c>
      <c r="D223" s="165"/>
      <c r="E223" s="166"/>
      <c r="F223" s="164"/>
      <c r="G223" s="167"/>
      <c r="H223" s="168">
        <f t="shared" si="6"/>
        <v>2</v>
      </c>
      <c r="I223" s="189"/>
      <c r="J223" s="265">
        <v>2</v>
      </c>
      <c r="K223" s="70"/>
      <c r="L223" s="71"/>
      <c r="M223" s="72"/>
      <c r="N223" s="68"/>
      <c r="O223" s="66"/>
      <c r="P223" s="68"/>
      <c r="Q223" s="68"/>
      <c r="R223" s="68"/>
      <c r="S223" s="68"/>
      <c r="T223" s="68"/>
      <c r="U223" s="68"/>
      <c r="V223" s="68"/>
      <c r="W223" s="68"/>
      <c r="X223" s="73"/>
    </row>
    <row r="224" spans="1:24" ht="13.5" thickBot="1">
      <c r="A224" s="399"/>
      <c r="B224" s="171"/>
      <c r="C224" s="172" t="s">
        <v>56</v>
      </c>
      <c r="D224" s="173"/>
      <c r="E224" s="174"/>
      <c r="F224" s="172"/>
      <c r="G224" s="175"/>
      <c r="H224" s="182">
        <f t="shared" si="6"/>
        <v>172.101</v>
      </c>
      <c r="I224" s="190"/>
      <c r="J224" s="266">
        <v>172.101</v>
      </c>
      <c r="K224" s="78"/>
      <c r="L224" s="79"/>
      <c r="M224" s="80"/>
      <c r="N224" s="76"/>
      <c r="O224" s="74"/>
      <c r="P224" s="76"/>
      <c r="Q224" s="76"/>
      <c r="R224" s="76"/>
      <c r="S224" s="76"/>
      <c r="T224" s="76"/>
      <c r="U224" s="76"/>
      <c r="V224" s="76"/>
      <c r="W224" s="76"/>
      <c r="X224" s="81"/>
    </row>
    <row r="225" spans="1:24" ht="15">
      <c r="A225" s="397" t="s">
        <v>192</v>
      </c>
      <c r="B225" s="116" t="s">
        <v>193</v>
      </c>
      <c r="C225" s="117" t="s">
        <v>54</v>
      </c>
      <c r="D225" s="118"/>
      <c r="E225" s="119"/>
      <c r="F225" s="117"/>
      <c r="G225" s="120"/>
      <c r="H225" s="140">
        <f t="shared" si="6"/>
        <v>0.572</v>
      </c>
      <c r="I225" s="141">
        <f>0.286+0.286</f>
        <v>0.572</v>
      </c>
      <c r="J225" s="93"/>
      <c r="K225" s="62"/>
      <c r="L225" s="63"/>
      <c r="M225" s="64"/>
      <c r="N225" s="57"/>
      <c r="O225" s="55"/>
      <c r="P225" s="57"/>
      <c r="Q225" s="57"/>
      <c r="R225" s="57"/>
      <c r="S225" s="57"/>
      <c r="T225" s="57"/>
      <c r="U225" s="57"/>
      <c r="V225" s="57"/>
      <c r="W225" s="57"/>
      <c r="X225" s="65"/>
    </row>
    <row r="226" spans="1:24" ht="15">
      <c r="A226" s="398"/>
      <c r="B226" s="124"/>
      <c r="C226" s="125" t="s">
        <v>55</v>
      </c>
      <c r="D226" s="126"/>
      <c r="E226" s="127"/>
      <c r="F226" s="125"/>
      <c r="G226" s="128"/>
      <c r="H226" s="129">
        <f t="shared" si="6"/>
        <v>2</v>
      </c>
      <c r="I226" s="130">
        <f>1+1</f>
        <v>2</v>
      </c>
      <c r="J226" s="90"/>
      <c r="K226" s="70"/>
      <c r="L226" s="71"/>
      <c r="M226" s="72"/>
      <c r="N226" s="68"/>
      <c r="O226" s="66"/>
      <c r="P226" s="68"/>
      <c r="Q226" s="68"/>
      <c r="R226" s="68"/>
      <c r="S226" s="68"/>
      <c r="T226" s="68"/>
      <c r="U226" s="68"/>
      <c r="V226" s="68"/>
      <c r="W226" s="68"/>
      <c r="X226" s="73"/>
    </row>
    <row r="227" spans="1:24" ht="13.5" thickBot="1">
      <c r="A227" s="399"/>
      <c r="B227" s="132"/>
      <c r="C227" s="133" t="s">
        <v>56</v>
      </c>
      <c r="D227" s="134"/>
      <c r="E227" s="135"/>
      <c r="F227" s="133"/>
      <c r="G227" s="136"/>
      <c r="H227" s="143">
        <f t="shared" si="6"/>
        <v>168.909</v>
      </c>
      <c r="I227" s="144">
        <f>71.503+97.406</f>
        <v>168.909</v>
      </c>
      <c r="J227" s="94"/>
      <c r="K227" s="78"/>
      <c r="L227" s="79"/>
      <c r="M227" s="80"/>
      <c r="N227" s="76"/>
      <c r="O227" s="74"/>
      <c r="P227" s="76"/>
      <c r="Q227" s="76"/>
      <c r="R227" s="76"/>
      <c r="S227" s="76"/>
      <c r="T227" s="76"/>
      <c r="U227" s="76"/>
      <c r="V227" s="76"/>
      <c r="W227" s="76"/>
      <c r="X227" s="81"/>
    </row>
    <row r="228" spans="1:24" ht="15">
      <c r="A228" s="397" t="s">
        <v>194</v>
      </c>
      <c r="B228" s="116" t="s">
        <v>195</v>
      </c>
      <c r="C228" s="117" t="s">
        <v>54</v>
      </c>
      <c r="D228" s="118"/>
      <c r="E228" s="119"/>
      <c r="F228" s="117"/>
      <c r="G228" s="120"/>
      <c r="H228" s="121">
        <f t="shared" si="6"/>
        <v>0.578</v>
      </c>
      <c r="I228" s="122">
        <f>0.289+0.289</f>
        <v>0.578</v>
      </c>
      <c r="J228" s="87"/>
      <c r="K228" s="62"/>
      <c r="L228" s="63"/>
      <c r="M228" s="64"/>
      <c r="N228" s="57"/>
      <c r="O228" s="55"/>
      <c r="P228" s="57"/>
      <c r="Q228" s="57"/>
      <c r="R228" s="57"/>
      <c r="S228" s="57"/>
      <c r="T228" s="57"/>
      <c r="U228" s="57"/>
      <c r="V228" s="57"/>
      <c r="W228" s="57"/>
      <c r="X228" s="65"/>
    </row>
    <row r="229" spans="1:24" ht="15">
      <c r="A229" s="398"/>
      <c r="B229" s="124"/>
      <c r="C229" s="125" t="s">
        <v>55</v>
      </c>
      <c r="D229" s="126"/>
      <c r="E229" s="127"/>
      <c r="F229" s="125"/>
      <c r="G229" s="128"/>
      <c r="H229" s="129">
        <f t="shared" si="6"/>
        <v>2</v>
      </c>
      <c r="I229" s="130">
        <f>1+1</f>
        <v>2</v>
      </c>
      <c r="J229" s="90"/>
      <c r="K229" s="70"/>
      <c r="L229" s="71"/>
      <c r="M229" s="72"/>
      <c r="N229" s="68"/>
      <c r="O229" s="66"/>
      <c r="P229" s="68"/>
      <c r="Q229" s="68"/>
      <c r="R229" s="68"/>
      <c r="S229" s="68"/>
      <c r="T229" s="68"/>
      <c r="U229" s="68"/>
      <c r="V229" s="68"/>
      <c r="W229" s="68"/>
      <c r="X229" s="73"/>
    </row>
    <row r="230" spans="1:24" ht="13.5" thickBot="1">
      <c r="A230" s="399"/>
      <c r="B230" s="132"/>
      <c r="C230" s="133" t="s">
        <v>56</v>
      </c>
      <c r="D230" s="134"/>
      <c r="E230" s="135"/>
      <c r="F230" s="133"/>
      <c r="G230" s="136"/>
      <c r="H230" s="137">
        <f t="shared" si="6"/>
        <v>164.177</v>
      </c>
      <c r="I230" s="138">
        <f>74.467+89.71</f>
        <v>164.177</v>
      </c>
      <c r="J230" s="92"/>
      <c r="K230" s="78"/>
      <c r="L230" s="79"/>
      <c r="M230" s="80"/>
      <c r="N230" s="76"/>
      <c r="O230" s="74"/>
      <c r="P230" s="76"/>
      <c r="Q230" s="76"/>
      <c r="R230" s="76"/>
      <c r="S230" s="76"/>
      <c r="T230" s="76"/>
      <c r="U230" s="76"/>
      <c r="V230" s="76"/>
      <c r="W230" s="76"/>
      <c r="X230" s="81"/>
    </row>
    <row r="231" spans="1:24" ht="15">
      <c r="A231" s="397" t="s">
        <v>196</v>
      </c>
      <c r="B231" s="116" t="s">
        <v>197</v>
      </c>
      <c r="C231" s="117" t="s">
        <v>54</v>
      </c>
      <c r="D231" s="118"/>
      <c r="E231" s="119"/>
      <c r="F231" s="117"/>
      <c r="G231" s="120"/>
      <c r="H231" s="140">
        <f t="shared" si="6"/>
        <v>0.558</v>
      </c>
      <c r="I231" s="141">
        <f>0.279+0.279</f>
        <v>0.558</v>
      </c>
      <c r="J231" s="93"/>
      <c r="K231" s="62"/>
      <c r="L231" s="63"/>
      <c r="M231" s="64"/>
      <c r="N231" s="57"/>
      <c r="O231" s="55"/>
      <c r="P231" s="57"/>
      <c r="Q231" s="57"/>
      <c r="R231" s="57"/>
      <c r="S231" s="57"/>
      <c r="T231" s="57"/>
      <c r="U231" s="57"/>
      <c r="V231" s="57"/>
      <c r="W231" s="57"/>
      <c r="X231" s="65"/>
    </row>
    <row r="232" spans="1:24" ht="15">
      <c r="A232" s="398"/>
      <c r="B232" s="124"/>
      <c r="C232" s="125" t="s">
        <v>55</v>
      </c>
      <c r="D232" s="126"/>
      <c r="E232" s="127"/>
      <c r="F232" s="125"/>
      <c r="G232" s="128"/>
      <c r="H232" s="129">
        <f t="shared" si="6"/>
        <v>2</v>
      </c>
      <c r="I232" s="130">
        <f>1+1</f>
        <v>2</v>
      </c>
      <c r="J232" s="90"/>
      <c r="K232" s="70"/>
      <c r="L232" s="71"/>
      <c r="M232" s="72"/>
      <c r="N232" s="68"/>
      <c r="O232" s="66"/>
      <c r="P232" s="68"/>
      <c r="Q232" s="68"/>
      <c r="R232" s="68"/>
      <c r="S232" s="68"/>
      <c r="T232" s="68"/>
      <c r="U232" s="68"/>
      <c r="V232" s="68"/>
      <c r="W232" s="68"/>
      <c r="X232" s="73"/>
    </row>
    <row r="233" spans="1:24" ht="13.5" thickBot="1">
      <c r="A233" s="399"/>
      <c r="B233" s="132"/>
      <c r="C233" s="133" t="s">
        <v>56</v>
      </c>
      <c r="D233" s="134"/>
      <c r="E233" s="135"/>
      <c r="F233" s="133"/>
      <c r="G233" s="136"/>
      <c r="H233" s="143">
        <f t="shared" si="6"/>
        <v>150.233</v>
      </c>
      <c r="I233" s="144">
        <f>77.974+72.259</f>
        <v>150.233</v>
      </c>
      <c r="J233" s="109"/>
      <c r="K233" s="78"/>
      <c r="L233" s="79"/>
      <c r="M233" s="80"/>
      <c r="N233" s="76"/>
      <c r="O233" s="74"/>
      <c r="P233" s="76"/>
      <c r="Q233" s="76"/>
      <c r="R233" s="76"/>
      <c r="S233" s="76"/>
      <c r="T233" s="76"/>
      <c r="U233" s="76"/>
      <c r="V233" s="76"/>
      <c r="W233" s="76"/>
      <c r="X233" s="81"/>
    </row>
    <row r="234" spans="1:24" ht="15">
      <c r="A234" s="397" t="s">
        <v>198</v>
      </c>
      <c r="B234" s="273" t="s">
        <v>199</v>
      </c>
      <c r="C234" s="197" t="s">
        <v>54</v>
      </c>
      <c r="D234" s="198"/>
      <c r="E234" s="199"/>
      <c r="F234" s="197"/>
      <c r="G234" s="200"/>
      <c r="H234" s="201">
        <f t="shared" si="6"/>
        <v>0.8639999999999999</v>
      </c>
      <c r="I234" s="261"/>
      <c r="J234" s="274">
        <v>0.8639999999999999</v>
      </c>
      <c r="K234" s="62"/>
      <c r="L234" s="63"/>
      <c r="M234" s="64"/>
      <c r="N234" s="57"/>
      <c r="O234" s="55"/>
      <c r="P234" s="57"/>
      <c r="Q234" s="57"/>
      <c r="R234" s="57"/>
      <c r="S234" s="57"/>
      <c r="T234" s="57"/>
      <c r="U234" s="57"/>
      <c r="V234" s="57"/>
      <c r="W234" s="57"/>
      <c r="X234" s="65"/>
    </row>
    <row r="235" spans="1:24" ht="15">
      <c r="A235" s="398"/>
      <c r="B235" s="275"/>
      <c r="C235" s="205" t="s">
        <v>55</v>
      </c>
      <c r="D235" s="206"/>
      <c r="E235" s="207"/>
      <c r="F235" s="205"/>
      <c r="G235" s="208"/>
      <c r="H235" s="209">
        <f t="shared" si="6"/>
        <v>3</v>
      </c>
      <c r="I235" s="262"/>
      <c r="J235" s="269">
        <v>3</v>
      </c>
      <c r="K235" s="70"/>
      <c r="L235" s="71"/>
      <c r="M235" s="72"/>
      <c r="N235" s="68"/>
      <c r="O235" s="66"/>
      <c r="P235" s="68"/>
      <c r="Q235" s="68"/>
      <c r="R235" s="68"/>
      <c r="S235" s="68"/>
      <c r="T235" s="68"/>
      <c r="U235" s="68"/>
      <c r="V235" s="68"/>
      <c r="W235" s="68"/>
      <c r="X235" s="73"/>
    </row>
    <row r="236" spans="1:24" ht="13.5" thickBot="1">
      <c r="A236" s="399"/>
      <c r="B236" s="276"/>
      <c r="C236" s="213" t="s">
        <v>56</v>
      </c>
      <c r="D236" s="214"/>
      <c r="E236" s="215"/>
      <c r="F236" s="213"/>
      <c r="G236" s="216"/>
      <c r="H236" s="217">
        <f t="shared" si="6"/>
        <v>286.29200000000003</v>
      </c>
      <c r="I236" s="263"/>
      <c r="J236" s="277">
        <v>286.29200000000003</v>
      </c>
      <c r="K236" s="78"/>
      <c r="L236" s="79"/>
      <c r="M236" s="80"/>
      <c r="N236" s="76"/>
      <c r="O236" s="74"/>
      <c r="P236" s="76"/>
      <c r="Q236" s="76"/>
      <c r="R236" s="76"/>
      <c r="S236" s="76"/>
      <c r="T236" s="76"/>
      <c r="U236" s="76"/>
      <c r="V236" s="76"/>
      <c r="W236" s="76"/>
      <c r="X236" s="81"/>
    </row>
    <row r="237" spans="1:24" ht="15">
      <c r="A237" s="397" t="s">
        <v>200</v>
      </c>
      <c r="B237" s="191" t="s">
        <v>201</v>
      </c>
      <c r="C237" s="156" t="s">
        <v>54</v>
      </c>
      <c r="D237" s="157"/>
      <c r="E237" s="158"/>
      <c r="F237" s="156"/>
      <c r="G237" s="159"/>
      <c r="H237" s="160">
        <f t="shared" si="6"/>
        <v>2.718</v>
      </c>
      <c r="I237" s="161"/>
      <c r="J237" s="162">
        <v>2.718</v>
      </c>
      <c r="K237" s="62"/>
      <c r="L237" s="63"/>
      <c r="M237" s="64"/>
      <c r="N237" s="57"/>
      <c r="O237" s="55"/>
      <c r="P237" s="57"/>
      <c r="Q237" s="57"/>
      <c r="R237" s="57"/>
      <c r="S237" s="57"/>
      <c r="T237" s="57"/>
      <c r="U237" s="57"/>
      <c r="V237" s="57"/>
      <c r="W237" s="57"/>
      <c r="X237" s="65"/>
    </row>
    <row r="238" spans="1:24" ht="15">
      <c r="A238" s="398"/>
      <c r="B238" s="192"/>
      <c r="C238" s="164" t="s">
        <v>55</v>
      </c>
      <c r="D238" s="165"/>
      <c r="E238" s="166"/>
      <c r="F238" s="164"/>
      <c r="G238" s="167"/>
      <c r="H238" s="168">
        <f t="shared" si="6"/>
        <v>1</v>
      </c>
      <c r="I238" s="169"/>
      <c r="J238" s="170">
        <v>1</v>
      </c>
      <c r="K238" s="70"/>
      <c r="L238" s="71"/>
      <c r="M238" s="72"/>
      <c r="N238" s="68"/>
      <c r="O238" s="66"/>
      <c r="P238" s="68"/>
      <c r="Q238" s="68"/>
      <c r="R238" s="68"/>
      <c r="S238" s="68"/>
      <c r="T238" s="68"/>
      <c r="U238" s="68"/>
      <c r="V238" s="68"/>
      <c r="W238" s="68"/>
      <c r="X238" s="73"/>
    </row>
    <row r="239" spans="1:24" ht="13.5" thickBot="1">
      <c r="A239" s="399"/>
      <c r="B239" s="193"/>
      <c r="C239" s="172" t="s">
        <v>56</v>
      </c>
      <c r="D239" s="173"/>
      <c r="E239" s="174"/>
      <c r="F239" s="172"/>
      <c r="G239" s="175"/>
      <c r="H239" s="176">
        <f t="shared" si="6"/>
        <v>781.095</v>
      </c>
      <c r="I239" s="177"/>
      <c r="J239" s="178">
        <v>781.095</v>
      </c>
      <c r="K239" s="78"/>
      <c r="L239" s="79"/>
      <c r="M239" s="80"/>
      <c r="N239" s="76"/>
      <c r="O239" s="74"/>
      <c r="P239" s="76"/>
      <c r="Q239" s="76"/>
      <c r="R239" s="76"/>
      <c r="S239" s="76"/>
      <c r="T239" s="76"/>
      <c r="U239" s="76"/>
      <c r="V239" s="76"/>
      <c r="W239" s="76"/>
      <c r="X239" s="81"/>
    </row>
    <row r="240" spans="1:24" ht="15">
      <c r="A240" s="397" t="s">
        <v>202</v>
      </c>
      <c r="B240" s="273" t="s">
        <v>203</v>
      </c>
      <c r="C240" s="197" t="s">
        <v>54</v>
      </c>
      <c r="D240" s="198"/>
      <c r="E240" s="199"/>
      <c r="F240" s="197"/>
      <c r="G240" s="200"/>
      <c r="H240" s="201">
        <f t="shared" si="6"/>
        <v>2.29</v>
      </c>
      <c r="I240" s="202"/>
      <c r="J240" s="203">
        <v>2.29</v>
      </c>
      <c r="K240" s="62"/>
      <c r="L240" s="63"/>
      <c r="M240" s="64"/>
      <c r="N240" s="57"/>
      <c r="O240" s="55"/>
      <c r="P240" s="57"/>
      <c r="Q240" s="57"/>
      <c r="R240" s="57"/>
      <c r="S240" s="57"/>
      <c r="T240" s="57"/>
      <c r="U240" s="57"/>
      <c r="V240" s="57"/>
      <c r="W240" s="57"/>
      <c r="X240" s="65"/>
    </row>
    <row r="241" spans="1:24" ht="15">
      <c r="A241" s="398"/>
      <c r="B241" s="275"/>
      <c r="C241" s="205" t="s">
        <v>55</v>
      </c>
      <c r="D241" s="206"/>
      <c r="E241" s="207"/>
      <c r="F241" s="205"/>
      <c r="G241" s="208"/>
      <c r="H241" s="209">
        <f t="shared" si="6"/>
        <v>1</v>
      </c>
      <c r="I241" s="210"/>
      <c r="J241" s="211">
        <v>1</v>
      </c>
      <c r="K241" s="70"/>
      <c r="L241" s="71"/>
      <c r="M241" s="72"/>
      <c r="N241" s="68"/>
      <c r="O241" s="66"/>
      <c r="P241" s="68"/>
      <c r="Q241" s="68"/>
      <c r="R241" s="68"/>
      <c r="S241" s="68"/>
      <c r="T241" s="68"/>
      <c r="U241" s="68"/>
      <c r="V241" s="68"/>
      <c r="W241" s="68"/>
      <c r="X241" s="73"/>
    </row>
    <row r="242" spans="1:24" ht="13.5" thickBot="1">
      <c r="A242" s="399"/>
      <c r="B242" s="276"/>
      <c r="C242" s="213" t="s">
        <v>56</v>
      </c>
      <c r="D242" s="214"/>
      <c r="E242" s="215"/>
      <c r="F242" s="213"/>
      <c r="G242" s="216"/>
      <c r="H242" s="217">
        <f t="shared" si="6"/>
        <v>460.997</v>
      </c>
      <c r="I242" s="218"/>
      <c r="J242" s="219">
        <v>460.997</v>
      </c>
      <c r="K242" s="78"/>
      <c r="L242" s="79"/>
      <c r="M242" s="80"/>
      <c r="N242" s="76"/>
      <c r="O242" s="74"/>
      <c r="P242" s="76"/>
      <c r="Q242" s="76"/>
      <c r="R242" s="76"/>
      <c r="S242" s="76"/>
      <c r="T242" s="76"/>
      <c r="U242" s="76"/>
      <c r="V242" s="76"/>
      <c r="W242" s="76"/>
      <c r="X242" s="81"/>
    </row>
    <row r="243" spans="1:24" ht="15">
      <c r="A243" s="420" t="s">
        <v>204</v>
      </c>
      <c r="B243" s="149" t="s">
        <v>205</v>
      </c>
      <c r="C243" s="117" t="s">
        <v>54</v>
      </c>
      <c r="D243" s="118"/>
      <c r="E243" s="119"/>
      <c r="F243" s="117"/>
      <c r="G243" s="120"/>
      <c r="H243" s="140">
        <f t="shared" si="6"/>
        <v>0.608</v>
      </c>
      <c r="I243" s="141">
        <f>0.304+0.304</f>
        <v>0.608</v>
      </c>
      <c r="J243" s="142"/>
      <c r="K243" s="62"/>
      <c r="L243" s="63"/>
      <c r="M243" s="64"/>
      <c r="N243" s="57"/>
      <c r="O243" s="55"/>
      <c r="P243" s="57"/>
      <c r="Q243" s="57"/>
      <c r="R243" s="57"/>
      <c r="S243" s="57"/>
      <c r="T243" s="57"/>
      <c r="U243" s="57"/>
      <c r="V243" s="57"/>
      <c r="W243" s="57"/>
      <c r="X243" s="65"/>
    </row>
    <row r="244" spans="1:24" ht="15">
      <c r="A244" s="421"/>
      <c r="B244" s="150"/>
      <c r="C244" s="125" t="s">
        <v>55</v>
      </c>
      <c r="D244" s="126"/>
      <c r="E244" s="127"/>
      <c r="F244" s="125"/>
      <c r="G244" s="128"/>
      <c r="H244" s="129">
        <f t="shared" si="6"/>
        <v>2</v>
      </c>
      <c r="I244" s="130">
        <f>1+1</f>
        <v>2</v>
      </c>
      <c r="J244" s="131"/>
      <c r="K244" s="70"/>
      <c r="L244" s="71"/>
      <c r="M244" s="72"/>
      <c r="N244" s="68"/>
      <c r="O244" s="66"/>
      <c r="P244" s="68"/>
      <c r="Q244" s="68"/>
      <c r="R244" s="68"/>
      <c r="S244" s="68"/>
      <c r="T244" s="68"/>
      <c r="U244" s="68"/>
      <c r="V244" s="68"/>
      <c r="W244" s="68"/>
      <c r="X244" s="73"/>
    </row>
    <row r="245" spans="1:24" ht="13.5" thickBot="1">
      <c r="A245" s="422"/>
      <c r="B245" s="151"/>
      <c r="C245" s="133" t="s">
        <v>56</v>
      </c>
      <c r="D245" s="134"/>
      <c r="E245" s="135"/>
      <c r="F245" s="133"/>
      <c r="G245" s="136"/>
      <c r="H245" s="143">
        <f t="shared" si="6"/>
        <v>159.029</v>
      </c>
      <c r="I245" s="144">
        <f>78.443+80.586</f>
        <v>159.029</v>
      </c>
      <c r="J245" s="145"/>
      <c r="K245" s="78"/>
      <c r="L245" s="79"/>
      <c r="M245" s="80"/>
      <c r="N245" s="76"/>
      <c r="O245" s="74"/>
      <c r="P245" s="76"/>
      <c r="Q245" s="76"/>
      <c r="R245" s="76"/>
      <c r="S245" s="76"/>
      <c r="T245" s="76"/>
      <c r="U245" s="76"/>
      <c r="V245" s="76"/>
      <c r="W245" s="76"/>
      <c r="X245" s="81"/>
    </row>
    <row r="246" spans="1:24" ht="15">
      <c r="A246" s="397" t="s">
        <v>206</v>
      </c>
      <c r="B246" s="273" t="s">
        <v>207</v>
      </c>
      <c r="C246" s="197" t="s">
        <v>54</v>
      </c>
      <c r="D246" s="198"/>
      <c r="E246" s="199"/>
      <c r="F246" s="197"/>
      <c r="G246" s="200"/>
      <c r="H246" s="201">
        <f t="shared" si="6"/>
        <v>0.608</v>
      </c>
      <c r="I246" s="261"/>
      <c r="J246" s="274">
        <v>0.608</v>
      </c>
      <c r="K246" s="62"/>
      <c r="L246" s="63"/>
      <c r="M246" s="64"/>
      <c r="N246" s="57"/>
      <c r="O246" s="55"/>
      <c r="P246" s="57"/>
      <c r="Q246" s="57"/>
      <c r="R246" s="57"/>
      <c r="S246" s="57"/>
      <c r="T246" s="57"/>
      <c r="U246" s="57"/>
      <c r="V246" s="57"/>
      <c r="W246" s="57"/>
      <c r="X246" s="65"/>
    </row>
    <row r="247" spans="1:24" ht="15">
      <c r="A247" s="398"/>
      <c r="B247" s="275"/>
      <c r="C247" s="205" t="s">
        <v>55</v>
      </c>
      <c r="D247" s="206"/>
      <c r="E247" s="207"/>
      <c r="F247" s="205"/>
      <c r="G247" s="208"/>
      <c r="H247" s="209">
        <f t="shared" si="6"/>
        <v>1</v>
      </c>
      <c r="I247" s="262"/>
      <c r="J247" s="269">
        <v>1</v>
      </c>
      <c r="K247" s="70"/>
      <c r="L247" s="71"/>
      <c r="M247" s="72"/>
      <c r="N247" s="68"/>
      <c r="O247" s="66"/>
      <c r="P247" s="68"/>
      <c r="Q247" s="68"/>
      <c r="R247" s="68"/>
      <c r="S247" s="68"/>
      <c r="T247" s="68"/>
      <c r="U247" s="68"/>
      <c r="V247" s="68"/>
      <c r="W247" s="68"/>
      <c r="X247" s="73"/>
    </row>
    <row r="248" spans="1:24" ht="13.5" thickBot="1">
      <c r="A248" s="399"/>
      <c r="B248" s="276"/>
      <c r="C248" s="213" t="s">
        <v>56</v>
      </c>
      <c r="D248" s="214"/>
      <c r="E248" s="215"/>
      <c r="F248" s="213"/>
      <c r="G248" s="216"/>
      <c r="H248" s="217">
        <f t="shared" si="6"/>
        <v>159.029</v>
      </c>
      <c r="I248" s="263"/>
      <c r="J248" s="277">
        <v>159.029</v>
      </c>
      <c r="K248" s="78"/>
      <c r="L248" s="79"/>
      <c r="M248" s="80"/>
      <c r="N248" s="76"/>
      <c r="O248" s="74"/>
      <c r="P248" s="76"/>
      <c r="Q248" s="76"/>
      <c r="R248" s="76"/>
      <c r="S248" s="76"/>
      <c r="T248" s="76"/>
      <c r="U248" s="76"/>
      <c r="V248" s="76"/>
      <c r="W248" s="76"/>
      <c r="X248" s="81"/>
    </row>
    <row r="249" spans="1:24" ht="15">
      <c r="A249" s="420" t="s">
        <v>204</v>
      </c>
      <c r="B249" s="149" t="s">
        <v>208</v>
      </c>
      <c r="C249" s="117" t="s">
        <v>54</v>
      </c>
      <c r="D249" s="118"/>
      <c r="E249" s="119"/>
      <c r="F249" s="117"/>
      <c r="G249" s="120"/>
      <c r="H249" s="140">
        <f t="shared" si="6"/>
        <v>0.8579999999999999</v>
      </c>
      <c r="I249" s="141">
        <f>0.286+0.286+0.286</f>
        <v>0.8579999999999999</v>
      </c>
      <c r="J249" s="152"/>
      <c r="K249" s="62"/>
      <c r="L249" s="63"/>
      <c r="M249" s="64"/>
      <c r="N249" s="57"/>
      <c r="O249" s="55"/>
      <c r="P249" s="57"/>
      <c r="Q249" s="57"/>
      <c r="R249" s="57"/>
      <c r="S249" s="57"/>
      <c r="T249" s="57"/>
      <c r="U249" s="57"/>
      <c r="V249" s="57"/>
      <c r="W249" s="57"/>
      <c r="X249" s="65"/>
    </row>
    <row r="250" spans="1:24" ht="15">
      <c r="A250" s="421"/>
      <c r="B250" s="150"/>
      <c r="C250" s="125" t="s">
        <v>55</v>
      </c>
      <c r="D250" s="126"/>
      <c r="E250" s="127"/>
      <c r="F250" s="125"/>
      <c r="G250" s="128"/>
      <c r="H250" s="129">
        <f t="shared" si="6"/>
        <v>3</v>
      </c>
      <c r="I250" s="130">
        <f>1+1+1</f>
        <v>3</v>
      </c>
      <c r="J250" s="153"/>
      <c r="K250" s="70"/>
      <c r="L250" s="71"/>
      <c r="M250" s="72"/>
      <c r="N250" s="68"/>
      <c r="O250" s="66"/>
      <c r="P250" s="68"/>
      <c r="Q250" s="68"/>
      <c r="R250" s="68"/>
      <c r="S250" s="68"/>
      <c r="T250" s="68"/>
      <c r="U250" s="68"/>
      <c r="V250" s="68"/>
      <c r="W250" s="68"/>
      <c r="X250" s="73"/>
    </row>
    <row r="251" spans="1:24" ht="13.5" thickBot="1">
      <c r="A251" s="422"/>
      <c r="B251" s="151"/>
      <c r="C251" s="133" t="s">
        <v>56</v>
      </c>
      <c r="D251" s="134"/>
      <c r="E251" s="135"/>
      <c r="F251" s="133"/>
      <c r="G251" s="136"/>
      <c r="H251" s="143">
        <f t="shared" si="6"/>
        <v>222.573</v>
      </c>
      <c r="I251" s="144">
        <f>74.58+74.278+73.715</f>
        <v>222.573</v>
      </c>
      <c r="J251" s="154"/>
      <c r="K251" s="78"/>
      <c r="L251" s="79"/>
      <c r="M251" s="80"/>
      <c r="N251" s="76"/>
      <c r="O251" s="74"/>
      <c r="P251" s="76"/>
      <c r="Q251" s="76"/>
      <c r="R251" s="76"/>
      <c r="S251" s="76"/>
      <c r="T251" s="76"/>
      <c r="U251" s="76"/>
      <c r="V251" s="76"/>
      <c r="W251" s="76"/>
      <c r="X251" s="81"/>
    </row>
    <row r="252" spans="1:24" ht="15">
      <c r="A252" s="420" t="s">
        <v>209</v>
      </c>
      <c r="B252" s="273" t="s">
        <v>210</v>
      </c>
      <c r="C252" s="197" t="s">
        <v>54</v>
      </c>
      <c r="D252" s="198"/>
      <c r="E252" s="199"/>
      <c r="F252" s="197"/>
      <c r="G252" s="200"/>
      <c r="H252" s="201">
        <f t="shared" si="6"/>
        <v>0.561</v>
      </c>
      <c r="I252" s="202"/>
      <c r="J252" s="274">
        <v>0.561</v>
      </c>
      <c r="K252" s="62"/>
      <c r="L252" s="63"/>
      <c r="M252" s="64"/>
      <c r="N252" s="57"/>
      <c r="O252" s="55"/>
      <c r="P252" s="57"/>
      <c r="Q252" s="57"/>
      <c r="R252" s="57"/>
      <c r="S252" s="57"/>
      <c r="T252" s="57"/>
      <c r="U252" s="57"/>
      <c r="V252" s="57"/>
      <c r="W252" s="57"/>
      <c r="X252" s="65"/>
    </row>
    <row r="253" spans="1:24" ht="15">
      <c r="A253" s="421"/>
      <c r="B253" s="275"/>
      <c r="C253" s="205" t="s">
        <v>55</v>
      </c>
      <c r="D253" s="206"/>
      <c r="E253" s="207"/>
      <c r="F253" s="205"/>
      <c r="G253" s="208"/>
      <c r="H253" s="209">
        <f t="shared" si="6"/>
        <v>1</v>
      </c>
      <c r="I253" s="210"/>
      <c r="J253" s="269">
        <v>1</v>
      </c>
      <c r="K253" s="70"/>
      <c r="L253" s="71"/>
      <c r="M253" s="72"/>
      <c r="N253" s="68"/>
      <c r="O253" s="66"/>
      <c r="P253" s="68"/>
      <c r="Q253" s="68"/>
      <c r="R253" s="68"/>
      <c r="S253" s="68"/>
      <c r="T253" s="68"/>
      <c r="U253" s="68"/>
      <c r="V253" s="68"/>
      <c r="W253" s="68"/>
      <c r="X253" s="73"/>
    </row>
    <row r="254" spans="1:24" ht="13.5" thickBot="1">
      <c r="A254" s="422"/>
      <c r="B254" s="276"/>
      <c r="C254" s="213" t="s">
        <v>56</v>
      </c>
      <c r="D254" s="214"/>
      <c r="E254" s="215"/>
      <c r="F254" s="213"/>
      <c r="G254" s="216"/>
      <c r="H254" s="217">
        <f t="shared" si="6"/>
        <v>188.43</v>
      </c>
      <c r="I254" s="218"/>
      <c r="J254" s="277">
        <v>188.43</v>
      </c>
      <c r="K254" s="78"/>
      <c r="L254" s="79"/>
      <c r="M254" s="80"/>
      <c r="N254" s="76"/>
      <c r="O254" s="74"/>
      <c r="P254" s="76"/>
      <c r="Q254" s="76"/>
      <c r="R254" s="76"/>
      <c r="S254" s="76"/>
      <c r="T254" s="76"/>
      <c r="U254" s="76"/>
      <c r="V254" s="76"/>
      <c r="W254" s="76"/>
      <c r="X254" s="81"/>
    </row>
    <row r="255" spans="1:24" ht="15">
      <c r="A255" s="420" t="s">
        <v>211</v>
      </c>
      <c r="B255" s="191" t="s">
        <v>212</v>
      </c>
      <c r="C255" s="156" t="s">
        <v>54</v>
      </c>
      <c r="D255" s="157"/>
      <c r="E255" s="158"/>
      <c r="F255" s="156"/>
      <c r="G255" s="159"/>
      <c r="H255" s="160">
        <f t="shared" si="6"/>
        <v>0.285</v>
      </c>
      <c r="I255" s="161"/>
      <c r="J255" s="162">
        <v>0.285</v>
      </c>
      <c r="K255" s="62"/>
      <c r="L255" s="63"/>
      <c r="M255" s="64"/>
      <c r="N255" s="57"/>
      <c r="O255" s="55"/>
      <c r="P255" s="57"/>
      <c r="Q255" s="57"/>
      <c r="R255" s="57"/>
      <c r="S255" s="57"/>
      <c r="T255" s="57"/>
      <c r="U255" s="57"/>
      <c r="V255" s="57"/>
      <c r="W255" s="57"/>
      <c r="X255" s="65"/>
    </row>
    <row r="256" spans="1:24" ht="15">
      <c r="A256" s="421"/>
      <c r="B256" s="192"/>
      <c r="C256" s="164" t="s">
        <v>55</v>
      </c>
      <c r="D256" s="165"/>
      <c r="E256" s="166"/>
      <c r="F256" s="164"/>
      <c r="G256" s="167"/>
      <c r="H256" s="168">
        <f t="shared" si="6"/>
        <v>1</v>
      </c>
      <c r="I256" s="169"/>
      <c r="J256" s="170">
        <v>1</v>
      </c>
      <c r="K256" s="70"/>
      <c r="L256" s="71"/>
      <c r="M256" s="72"/>
      <c r="N256" s="68"/>
      <c r="O256" s="66"/>
      <c r="P256" s="68"/>
      <c r="Q256" s="68"/>
      <c r="R256" s="68"/>
      <c r="S256" s="68"/>
      <c r="T256" s="68"/>
      <c r="U256" s="68"/>
      <c r="V256" s="68"/>
      <c r="W256" s="68"/>
      <c r="X256" s="73"/>
    </row>
    <row r="257" spans="1:24" ht="13.5" thickBot="1">
      <c r="A257" s="422"/>
      <c r="B257" s="193"/>
      <c r="C257" s="172" t="s">
        <v>56</v>
      </c>
      <c r="D257" s="173"/>
      <c r="E257" s="174"/>
      <c r="F257" s="172"/>
      <c r="G257" s="175"/>
      <c r="H257" s="176">
        <f t="shared" si="6"/>
        <v>140.821</v>
      </c>
      <c r="I257" s="177"/>
      <c r="J257" s="178">
        <v>140.821</v>
      </c>
      <c r="K257" s="78"/>
      <c r="L257" s="79"/>
      <c r="M257" s="80"/>
      <c r="N257" s="76"/>
      <c r="O257" s="74"/>
      <c r="P257" s="76"/>
      <c r="Q257" s="76"/>
      <c r="R257" s="76"/>
      <c r="S257" s="76"/>
      <c r="T257" s="76"/>
      <c r="U257" s="76"/>
      <c r="V257" s="76"/>
      <c r="W257" s="76"/>
      <c r="X257" s="81"/>
    </row>
    <row r="258" spans="1:24" ht="15">
      <c r="A258" s="420" t="s">
        <v>213</v>
      </c>
      <c r="B258" s="191" t="s">
        <v>214</v>
      </c>
      <c r="C258" s="156" t="s">
        <v>54</v>
      </c>
      <c r="D258" s="157"/>
      <c r="E258" s="158"/>
      <c r="F258" s="156"/>
      <c r="G258" s="159"/>
      <c r="H258" s="179">
        <f t="shared" si="6"/>
        <v>0.535</v>
      </c>
      <c r="I258" s="180"/>
      <c r="J258" s="181">
        <v>0.535</v>
      </c>
      <c r="K258" s="62"/>
      <c r="L258" s="63"/>
      <c r="M258" s="64"/>
      <c r="N258" s="57"/>
      <c r="O258" s="55"/>
      <c r="P258" s="57"/>
      <c r="Q258" s="57"/>
      <c r="R258" s="57"/>
      <c r="S258" s="57"/>
      <c r="T258" s="57"/>
      <c r="U258" s="57"/>
      <c r="V258" s="57"/>
      <c r="W258" s="57"/>
      <c r="X258" s="65"/>
    </row>
    <row r="259" spans="1:24" ht="15">
      <c r="A259" s="421"/>
      <c r="B259" s="192"/>
      <c r="C259" s="164" t="s">
        <v>55</v>
      </c>
      <c r="D259" s="165"/>
      <c r="E259" s="166"/>
      <c r="F259" s="164"/>
      <c r="G259" s="167"/>
      <c r="H259" s="168">
        <f t="shared" si="6"/>
        <v>1</v>
      </c>
      <c r="I259" s="169"/>
      <c r="J259" s="170">
        <v>1</v>
      </c>
      <c r="K259" s="70"/>
      <c r="L259" s="71"/>
      <c r="M259" s="72"/>
      <c r="N259" s="68"/>
      <c r="O259" s="66"/>
      <c r="P259" s="68"/>
      <c r="Q259" s="68"/>
      <c r="R259" s="68"/>
      <c r="S259" s="68"/>
      <c r="T259" s="68"/>
      <c r="U259" s="68"/>
      <c r="V259" s="68"/>
      <c r="W259" s="68"/>
      <c r="X259" s="73"/>
    </row>
    <row r="260" spans="1:24" ht="13.5" thickBot="1">
      <c r="A260" s="422"/>
      <c r="B260" s="193"/>
      <c r="C260" s="172" t="s">
        <v>56</v>
      </c>
      <c r="D260" s="173"/>
      <c r="E260" s="174"/>
      <c r="F260" s="172"/>
      <c r="G260" s="175"/>
      <c r="H260" s="182">
        <f t="shared" si="6"/>
        <v>179.702</v>
      </c>
      <c r="I260" s="183"/>
      <c r="J260" s="184">
        <v>179.702</v>
      </c>
      <c r="K260" s="78"/>
      <c r="L260" s="79"/>
      <c r="M260" s="80"/>
      <c r="N260" s="76"/>
      <c r="O260" s="74"/>
      <c r="P260" s="76"/>
      <c r="Q260" s="76"/>
      <c r="R260" s="76"/>
      <c r="S260" s="76"/>
      <c r="T260" s="76"/>
      <c r="U260" s="76"/>
      <c r="V260" s="76"/>
      <c r="W260" s="76"/>
      <c r="X260" s="81"/>
    </row>
    <row r="261" spans="1:24" ht="15">
      <c r="A261" s="420" t="s">
        <v>215</v>
      </c>
      <c r="B261" s="149" t="s">
        <v>216</v>
      </c>
      <c r="C261" s="117" t="s">
        <v>54</v>
      </c>
      <c r="D261" s="118"/>
      <c r="E261" s="119"/>
      <c r="F261" s="117"/>
      <c r="G261" s="120"/>
      <c r="H261" s="140">
        <f t="shared" si="6"/>
        <v>0.663</v>
      </c>
      <c r="I261" s="141">
        <f>0.332+0.331</f>
        <v>0.663</v>
      </c>
      <c r="J261" s="142"/>
      <c r="K261" s="62"/>
      <c r="L261" s="63"/>
      <c r="M261" s="64"/>
      <c r="N261" s="57"/>
      <c r="O261" s="55"/>
      <c r="P261" s="57"/>
      <c r="Q261" s="57"/>
      <c r="R261" s="57"/>
      <c r="S261" s="57"/>
      <c r="T261" s="57"/>
      <c r="U261" s="57"/>
      <c r="V261" s="57"/>
      <c r="W261" s="57"/>
      <c r="X261" s="65"/>
    </row>
    <row r="262" spans="1:24" ht="15">
      <c r="A262" s="421"/>
      <c r="B262" s="150"/>
      <c r="C262" s="125" t="s">
        <v>55</v>
      </c>
      <c r="D262" s="126"/>
      <c r="E262" s="127"/>
      <c r="F262" s="125"/>
      <c r="G262" s="128"/>
      <c r="H262" s="129">
        <f t="shared" si="6"/>
        <v>2</v>
      </c>
      <c r="I262" s="130">
        <f>1+1</f>
        <v>2</v>
      </c>
      <c r="J262" s="131"/>
      <c r="K262" s="70"/>
      <c r="L262" s="71"/>
      <c r="M262" s="72"/>
      <c r="N262" s="68"/>
      <c r="O262" s="66"/>
      <c r="P262" s="68"/>
      <c r="Q262" s="68"/>
      <c r="R262" s="68"/>
      <c r="S262" s="68"/>
      <c r="T262" s="68"/>
      <c r="U262" s="68"/>
      <c r="V262" s="68"/>
      <c r="W262" s="68"/>
      <c r="X262" s="73"/>
    </row>
    <row r="263" spans="1:24" ht="13.5" thickBot="1">
      <c r="A263" s="422"/>
      <c r="B263" s="151"/>
      <c r="C263" s="133" t="s">
        <v>56</v>
      </c>
      <c r="D263" s="134"/>
      <c r="E263" s="135"/>
      <c r="F263" s="133"/>
      <c r="G263" s="136"/>
      <c r="H263" s="143">
        <f t="shared" si="6"/>
        <v>194.301</v>
      </c>
      <c r="I263" s="144">
        <f>102.198+92.103</f>
        <v>194.301</v>
      </c>
      <c r="J263" s="145"/>
      <c r="K263" s="78"/>
      <c r="L263" s="79"/>
      <c r="M263" s="80"/>
      <c r="N263" s="76"/>
      <c r="O263" s="74"/>
      <c r="P263" s="76"/>
      <c r="Q263" s="76"/>
      <c r="R263" s="76"/>
      <c r="S263" s="76"/>
      <c r="T263" s="76"/>
      <c r="U263" s="76"/>
      <c r="V263" s="76"/>
      <c r="W263" s="76"/>
      <c r="X263" s="81"/>
    </row>
    <row r="264" spans="1:24" ht="15">
      <c r="A264" s="420" t="s">
        <v>217</v>
      </c>
      <c r="B264" s="273" t="s">
        <v>218</v>
      </c>
      <c r="C264" s="197" t="s">
        <v>54</v>
      </c>
      <c r="D264" s="198"/>
      <c r="E264" s="199"/>
      <c r="F264" s="197"/>
      <c r="G264" s="200"/>
      <c r="H264" s="201">
        <f t="shared" si="6"/>
        <v>0.745</v>
      </c>
      <c r="I264" s="202"/>
      <c r="J264" s="203">
        <v>0.745</v>
      </c>
      <c r="K264" s="62"/>
      <c r="L264" s="63"/>
      <c r="M264" s="64"/>
      <c r="N264" s="57"/>
      <c r="O264" s="55"/>
      <c r="P264" s="57"/>
      <c r="Q264" s="57"/>
      <c r="R264" s="57"/>
      <c r="S264" s="57"/>
      <c r="T264" s="57"/>
      <c r="U264" s="57"/>
      <c r="V264" s="57"/>
      <c r="W264" s="57"/>
      <c r="X264" s="65"/>
    </row>
    <row r="265" spans="1:24" ht="15">
      <c r="A265" s="421"/>
      <c r="B265" s="275"/>
      <c r="C265" s="205" t="s">
        <v>55</v>
      </c>
      <c r="D265" s="206"/>
      <c r="E265" s="207"/>
      <c r="F265" s="205"/>
      <c r="G265" s="208"/>
      <c r="H265" s="209">
        <f t="shared" si="6"/>
        <v>1</v>
      </c>
      <c r="I265" s="210"/>
      <c r="J265" s="211">
        <v>1</v>
      </c>
      <c r="K265" s="70"/>
      <c r="L265" s="71"/>
      <c r="M265" s="72"/>
      <c r="N265" s="68"/>
      <c r="O265" s="66"/>
      <c r="P265" s="68"/>
      <c r="Q265" s="68"/>
      <c r="R265" s="68"/>
      <c r="S265" s="68"/>
      <c r="T265" s="68"/>
      <c r="U265" s="68"/>
      <c r="V265" s="68"/>
      <c r="W265" s="68"/>
      <c r="X265" s="73"/>
    </row>
    <row r="266" spans="1:24" ht="13.5" thickBot="1">
      <c r="A266" s="422"/>
      <c r="B266" s="276"/>
      <c r="C266" s="213" t="s">
        <v>56</v>
      </c>
      <c r="D266" s="214"/>
      <c r="E266" s="215"/>
      <c r="F266" s="213"/>
      <c r="G266" s="216"/>
      <c r="H266" s="217">
        <f t="shared" si="6"/>
        <v>185.247</v>
      </c>
      <c r="I266" s="218"/>
      <c r="J266" s="219">
        <v>185.247</v>
      </c>
      <c r="K266" s="78"/>
      <c r="L266" s="79"/>
      <c r="M266" s="80"/>
      <c r="N266" s="76"/>
      <c r="O266" s="74"/>
      <c r="P266" s="76"/>
      <c r="Q266" s="76"/>
      <c r="R266" s="76"/>
      <c r="S266" s="76"/>
      <c r="T266" s="76"/>
      <c r="U266" s="76"/>
      <c r="V266" s="76"/>
      <c r="W266" s="76"/>
      <c r="X266" s="81"/>
    </row>
    <row r="267" spans="1:24" ht="15">
      <c r="A267" s="420" t="s">
        <v>219</v>
      </c>
      <c r="B267" s="149" t="s">
        <v>220</v>
      </c>
      <c r="C267" s="117" t="s">
        <v>54</v>
      </c>
      <c r="D267" s="118"/>
      <c r="E267" s="119"/>
      <c r="F267" s="117"/>
      <c r="G267" s="120"/>
      <c r="H267" s="140">
        <f t="shared" si="6"/>
        <v>0.29</v>
      </c>
      <c r="I267" s="141">
        <v>0.29</v>
      </c>
      <c r="J267" s="142"/>
      <c r="K267" s="62"/>
      <c r="L267" s="63"/>
      <c r="M267" s="64"/>
      <c r="N267" s="57"/>
      <c r="O267" s="55"/>
      <c r="P267" s="57"/>
      <c r="Q267" s="57"/>
      <c r="R267" s="57"/>
      <c r="S267" s="57"/>
      <c r="T267" s="57"/>
      <c r="U267" s="57"/>
      <c r="V267" s="57"/>
      <c r="W267" s="57"/>
      <c r="X267" s="65"/>
    </row>
    <row r="268" spans="1:24" ht="15">
      <c r="A268" s="421"/>
      <c r="B268" s="150"/>
      <c r="C268" s="125" t="s">
        <v>55</v>
      </c>
      <c r="D268" s="126"/>
      <c r="E268" s="127"/>
      <c r="F268" s="125"/>
      <c r="G268" s="128"/>
      <c r="H268" s="129">
        <f t="shared" si="6"/>
        <v>1</v>
      </c>
      <c r="I268" s="130">
        <v>1</v>
      </c>
      <c r="J268" s="131"/>
      <c r="K268" s="70"/>
      <c r="L268" s="71"/>
      <c r="M268" s="72"/>
      <c r="N268" s="68"/>
      <c r="O268" s="66"/>
      <c r="P268" s="68"/>
      <c r="Q268" s="68"/>
      <c r="R268" s="68"/>
      <c r="S268" s="68"/>
      <c r="T268" s="68"/>
      <c r="U268" s="68"/>
      <c r="V268" s="68"/>
      <c r="W268" s="68"/>
      <c r="X268" s="73"/>
    </row>
    <row r="269" spans="1:24" ht="13.5" thickBot="1">
      <c r="A269" s="422"/>
      <c r="B269" s="151"/>
      <c r="C269" s="133" t="s">
        <v>56</v>
      </c>
      <c r="D269" s="134"/>
      <c r="E269" s="135"/>
      <c r="F269" s="133"/>
      <c r="G269" s="136"/>
      <c r="H269" s="143">
        <f t="shared" si="6"/>
        <v>98.772</v>
      </c>
      <c r="I269" s="144">
        <v>98.772</v>
      </c>
      <c r="J269" s="145"/>
      <c r="K269" s="78"/>
      <c r="L269" s="79"/>
      <c r="M269" s="80"/>
      <c r="N269" s="76"/>
      <c r="O269" s="74"/>
      <c r="P269" s="76"/>
      <c r="Q269" s="76"/>
      <c r="R269" s="76"/>
      <c r="S269" s="76"/>
      <c r="T269" s="76"/>
      <c r="U269" s="76"/>
      <c r="V269" s="76"/>
      <c r="W269" s="76"/>
      <c r="X269" s="81"/>
    </row>
    <row r="270" spans="1:24" ht="15">
      <c r="A270" s="420" t="s">
        <v>221</v>
      </c>
      <c r="B270" s="191" t="s">
        <v>222</v>
      </c>
      <c r="C270" s="156" t="s">
        <v>54</v>
      </c>
      <c r="D270" s="157"/>
      <c r="E270" s="158"/>
      <c r="F270" s="156"/>
      <c r="G270" s="159"/>
      <c r="H270" s="179">
        <f t="shared" si="6"/>
        <v>1.198</v>
      </c>
      <c r="I270" s="180"/>
      <c r="J270" s="181">
        <v>1.198</v>
      </c>
      <c r="K270" s="62"/>
      <c r="L270" s="63"/>
      <c r="M270" s="64"/>
      <c r="N270" s="57"/>
      <c r="O270" s="55"/>
      <c r="P270" s="57"/>
      <c r="Q270" s="57"/>
      <c r="R270" s="57"/>
      <c r="S270" s="57"/>
      <c r="T270" s="57"/>
      <c r="U270" s="57"/>
      <c r="V270" s="57"/>
      <c r="W270" s="57"/>
      <c r="X270" s="65"/>
    </row>
    <row r="271" spans="1:24" ht="15">
      <c r="A271" s="421"/>
      <c r="B271" s="192"/>
      <c r="C271" s="164" t="s">
        <v>55</v>
      </c>
      <c r="D271" s="165"/>
      <c r="E271" s="166"/>
      <c r="F271" s="164"/>
      <c r="G271" s="167"/>
      <c r="H271" s="168">
        <f t="shared" si="6"/>
        <v>2</v>
      </c>
      <c r="I271" s="169"/>
      <c r="J271" s="170">
        <v>2</v>
      </c>
      <c r="K271" s="70"/>
      <c r="L271" s="71"/>
      <c r="M271" s="72"/>
      <c r="N271" s="68"/>
      <c r="O271" s="66"/>
      <c r="P271" s="68"/>
      <c r="Q271" s="68"/>
      <c r="R271" s="68"/>
      <c r="S271" s="68"/>
      <c r="T271" s="68"/>
      <c r="U271" s="68"/>
      <c r="V271" s="68"/>
      <c r="W271" s="68"/>
      <c r="X271" s="73"/>
    </row>
    <row r="272" spans="1:24" ht="13.5" thickBot="1">
      <c r="A272" s="422"/>
      <c r="B272" s="193"/>
      <c r="C272" s="172" t="s">
        <v>56</v>
      </c>
      <c r="D272" s="173"/>
      <c r="E272" s="174"/>
      <c r="F272" s="172"/>
      <c r="G272" s="175"/>
      <c r="H272" s="182">
        <f t="shared" si="6"/>
        <v>376.706</v>
      </c>
      <c r="I272" s="183"/>
      <c r="J272" s="184">
        <v>376.706</v>
      </c>
      <c r="K272" s="78"/>
      <c r="L272" s="79"/>
      <c r="M272" s="80"/>
      <c r="N272" s="76"/>
      <c r="O272" s="74"/>
      <c r="P272" s="76"/>
      <c r="Q272" s="76"/>
      <c r="R272" s="76"/>
      <c r="S272" s="76"/>
      <c r="T272" s="76"/>
      <c r="U272" s="76"/>
      <c r="V272" s="76"/>
      <c r="W272" s="76"/>
      <c r="X272" s="81"/>
    </row>
    <row r="273" spans="1:24" ht="15">
      <c r="A273" s="420" t="s">
        <v>223</v>
      </c>
      <c r="B273" s="149" t="s">
        <v>224</v>
      </c>
      <c r="C273" s="117" t="s">
        <v>54</v>
      </c>
      <c r="D273" s="118"/>
      <c r="E273" s="119"/>
      <c r="F273" s="117"/>
      <c r="G273" s="120"/>
      <c r="H273" s="140">
        <f t="shared" si="6"/>
        <v>0.568</v>
      </c>
      <c r="I273" s="141">
        <f>0.284+0.284</f>
        <v>0.568</v>
      </c>
      <c r="J273" s="142"/>
      <c r="K273" s="62"/>
      <c r="L273" s="63"/>
      <c r="M273" s="64"/>
      <c r="N273" s="57"/>
      <c r="O273" s="55"/>
      <c r="P273" s="57"/>
      <c r="Q273" s="57"/>
      <c r="R273" s="57"/>
      <c r="S273" s="57"/>
      <c r="T273" s="57"/>
      <c r="U273" s="57"/>
      <c r="V273" s="57"/>
      <c r="W273" s="57"/>
      <c r="X273" s="65"/>
    </row>
    <row r="274" spans="1:24" ht="15">
      <c r="A274" s="421"/>
      <c r="B274" s="150"/>
      <c r="C274" s="125" t="s">
        <v>55</v>
      </c>
      <c r="D274" s="126"/>
      <c r="E274" s="127"/>
      <c r="F274" s="125"/>
      <c r="G274" s="128"/>
      <c r="H274" s="129">
        <f t="shared" si="6"/>
        <v>2</v>
      </c>
      <c r="I274" s="130">
        <f>1+1</f>
        <v>2</v>
      </c>
      <c r="J274" s="131"/>
      <c r="K274" s="70"/>
      <c r="L274" s="71"/>
      <c r="M274" s="72"/>
      <c r="N274" s="68"/>
      <c r="O274" s="66"/>
      <c r="P274" s="68"/>
      <c r="Q274" s="68"/>
      <c r="R274" s="68"/>
      <c r="S274" s="68"/>
      <c r="T274" s="68"/>
      <c r="U274" s="68"/>
      <c r="V274" s="68"/>
      <c r="W274" s="68"/>
      <c r="X274" s="73"/>
    </row>
    <row r="275" spans="1:24" ht="13.5" thickBot="1">
      <c r="A275" s="422"/>
      <c r="B275" s="151"/>
      <c r="C275" s="133" t="s">
        <v>56</v>
      </c>
      <c r="D275" s="134"/>
      <c r="E275" s="135"/>
      <c r="F275" s="133"/>
      <c r="G275" s="136"/>
      <c r="H275" s="143">
        <f t="shared" si="6"/>
        <v>213.357</v>
      </c>
      <c r="I275" s="144">
        <f>105.408+107.949</f>
        <v>213.357</v>
      </c>
      <c r="J275" s="145"/>
      <c r="K275" s="78"/>
      <c r="L275" s="79"/>
      <c r="M275" s="80"/>
      <c r="N275" s="76"/>
      <c r="O275" s="74"/>
      <c r="P275" s="76"/>
      <c r="Q275" s="76"/>
      <c r="R275" s="76"/>
      <c r="S275" s="76"/>
      <c r="T275" s="76"/>
      <c r="U275" s="76"/>
      <c r="V275" s="76"/>
      <c r="W275" s="76"/>
      <c r="X275" s="81"/>
    </row>
    <row r="276" spans="1:24" ht="15">
      <c r="A276" s="420" t="s">
        <v>225</v>
      </c>
      <c r="B276" s="273" t="s">
        <v>226</v>
      </c>
      <c r="C276" s="197" t="s">
        <v>54</v>
      </c>
      <c r="D276" s="198"/>
      <c r="E276" s="199"/>
      <c r="F276" s="197"/>
      <c r="G276" s="200"/>
      <c r="H276" s="201">
        <f t="shared" si="6"/>
        <v>0.331</v>
      </c>
      <c r="I276" s="202"/>
      <c r="J276" s="203">
        <v>0.331</v>
      </c>
      <c r="K276" s="62"/>
      <c r="L276" s="63"/>
      <c r="M276" s="64"/>
      <c r="N276" s="57"/>
      <c r="O276" s="55"/>
      <c r="P276" s="57"/>
      <c r="Q276" s="57"/>
      <c r="R276" s="57"/>
      <c r="S276" s="57"/>
      <c r="T276" s="57"/>
      <c r="U276" s="57"/>
      <c r="V276" s="57"/>
      <c r="W276" s="57"/>
      <c r="X276" s="65"/>
    </row>
    <row r="277" spans="1:24" ht="15">
      <c r="A277" s="421"/>
      <c r="B277" s="275"/>
      <c r="C277" s="205" t="s">
        <v>55</v>
      </c>
      <c r="D277" s="206"/>
      <c r="E277" s="207"/>
      <c r="F277" s="205"/>
      <c r="G277" s="208"/>
      <c r="H277" s="209">
        <f t="shared" si="6"/>
        <v>1</v>
      </c>
      <c r="I277" s="210"/>
      <c r="J277" s="211">
        <v>1</v>
      </c>
      <c r="K277" s="70"/>
      <c r="L277" s="71"/>
      <c r="M277" s="72"/>
      <c r="N277" s="68"/>
      <c r="O277" s="66"/>
      <c r="P277" s="68"/>
      <c r="Q277" s="68"/>
      <c r="R277" s="68"/>
      <c r="S277" s="68"/>
      <c r="T277" s="68"/>
      <c r="U277" s="68"/>
      <c r="V277" s="68"/>
      <c r="W277" s="68"/>
      <c r="X277" s="73"/>
    </row>
    <row r="278" spans="1:24" ht="13.5" thickBot="1">
      <c r="A278" s="422"/>
      <c r="B278" s="276"/>
      <c r="C278" s="213" t="s">
        <v>56</v>
      </c>
      <c r="D278" s="214"/>
      <c r="E278" s="215"/>
      <c r="F278" s="213"/>
      <c r="G278" s="216"/>
      <c r="H278" s="217">
        <f t="shared" si="6"/>
        <v>115.811</v>
      </c>
      <c r="I278" s="218"/>
      <c r="J278" s="219">
        <v>115.811</v>
      </c>
      <c r="K278" s="78"/>
      <c r="L278" s="79"/>
      <c r="M278" s="80"/>
      <c r="N278" s="76"/>
      <c r="O278" s="74"/>
      <c r="P278" s="76"/>
      <c r="Q278" s="76"/>
      <c r="R278" s="76"/>
      <c r="S278" s="76"/>
      <c r="T278" s="76"/>
      <c r="U278" s="76"/>
      <c r="V278" s="76"/>
      <c r="W278" s="76"/>
      <c r="X278" s="81"/>
    </row>
    <row r="279" spans="1:24" ht="15">
      <c r="A279" s="420" t="s">
        <v>227</v>
      </c>
      <c r="B279" s="149" t="s">
        <v>228</v>
      </c>
      <c r="C279" s="117" t="s">
        <v>54</v>
      </c>
      <c r="D279" s="118"/>
      <c r="E279" s="119"/>
      <c r="F279" s="117"/>
      <c r="G279" s="120"/>
      <c r="H279" s="121">
        <f>I279+J279</f>
        <v>0.9059999999999999</v>
      </c>
      <c r="I279" s="122">
        <f>0.302+0.302+0.302</f>
        <v>0.9059999999999999</v>
      </c>
      <c r="J279" s="123"/>
      <c r="K279" s="62"/>
      <c r="L279" s="63"/>
      <c r="M279" s="64"/>
      <c r="N279" s="57"/>
      <c r="O279" s="55"/>
      <c r="P279" s="57"/>
      <c r="Q279" s="57"/>
      <c r="R279" s="57"/>
      <c r="S279" s="57"/>
      <c r="T279" s="57"/>
      <c r="U279" s="57"/>
      <c r="V279" s="57"/>
      <c r="W279" s="57"/>
      <c r="X279" s="65"/>
    </row>
    <row r="280" spans="1:24" ht="15">
      <c r="A280" s="421"/>
      <c r="B280" s="150"/>
      <c r="C280" s="125" t="s">
        <v>55</v>
      </c>
      <c r="D280" s="126"/>
      <c r="E280" s="127"/>
      <c r="F280" s="125"/>
      <c r="G280" s="128"/>
      <c r="H280" s="129">
        <f>I280+J280</f>
        <v>3</v>
      </c>
      <c r="I280" s="130">
        <f>1+1+1</f>
        <v>3</v>
      </c>
      <c r="J280" s="131"/>
      <c r="K280" s="70"/>
      <c r="L280" s="71"/>
      <c r="M280" s="72"/>
      <c r="N280" s="68"/>
      <c r="O280" s="66"/>
      <c r="P280" s="68"/>
      <c r="Q280" s="68"/>
      <c r="R280" s="68"/>
      <c r="S280" s="68"/>
      <c r="T280" s="68"/>
      <c r="U280" s="68"/>
      <c r="V280" s="68"/>
      <c r="W280" s="68"/>
      <c r="X280" s="73"/>
    </row>
    <row r="281" spans="1:24" ht="13.5" thickBot="1">
      <c r="A281" s="422"/>
      <c r="B281" s="151"/>
      <c r="C281" s="133" t="s">
        <v>56</v>
      </c>
      <c r="D281" s="134"/>
      <c r="E281" s="135"/>
      <c r="F281" s="133"/>
      <c r="G281" s="136"/>
      <c r="H281" s="137">
        <f aca="true" t="shared" si="7" ref="H281:H320">I281+J281</f>
        <v>249.691</v>
      </c>
      <c r="I281" s="138">
        <f>86.519+87.498+75.674</f>
        <v>249.691</v>
      </c>
      <c r="J281" s="139"/>
      <c r="K281" s="78"/>
      <c r="L281" s="79"/>
      <c r="M281" s="80"/>
      <c r="N281" s="76"/>
      <c r="O281" s="74"/>
      <c r="P281" s="76"/>
      <c r="Q281" s="76"/>
      <c r="R281" s="76"/>
      <c r="S281" s="76"/>
      <c r="T281" s="76"/>
      <c r="U281" s="76"/>
      <c r="V281" s="76"/>
      <c r="W281" s="76"/>
      <c r="X281" s="81"/>
    </row>
    <row r="282" spans="1:24" ht="15">
      <c r="A282" s="420" t="s">
        <v>229</v>
      </c>
      <c r="B282" s="149" t="s">
        <v>230</v>
      </c>
      <c r="C282" s="117" t="s">
        <v>54</v>
      </c>
      <c r="D282" s="118"/>
      <c r="E282" s="119"/>
      <c r="F282" s="117"/>
      <c r="G282" s="120"/>
      <c r="H282" s="140">
        <f t="shared" si="7"/>
        <v>0.578</v>
      </c>
      <c r="I282" s="141">
        <f>0.289+0.289</f>
        <v>0.578</v>
      </c>
      <c r="J282" s="142"/>
      <c r="K282" s="62"/>
      <c r="L282" s="63"/>
      <c r="M282" s="64"/>
      <c r="N282" s="57"/>
      <c r="O282" s="55"/>
      <c r="P282" s="57"/>
      <c r="Q282" s="57"/>
      <c r="R282" s="57"/>
      <c r="S282" s="57"/>
      <c r="T282" s="57"/>
      <c r="U282" s="57"/>
      <c r="V282" s="57"/>
      <c r="W282" s="57"/>
      <c r="X282" s="65"/>
    </row>
    <row r="283" spans="1:24" ht="15">
      <c r="A283" s="421"/>
      <c r="B283" s="150"/>
      <c r="C283" s="125" t="s">
        <v>55</v>
      </c>
      <c r="D283" s="126"/>
      <c r="E283" s="127"/>
      <c r="F283" s="125"/>
      <c r="G283" s="128"/>
      <c r="H283" s="129">
        <f t="shared" si="7"/>
        <v>2</v>
      </c>
      <c r="I283" s="130">
        <f>1+1</f>
        <v>2</v>
      </c>
      <c r="J283" s="131"/>
      <c r="K283" s="70"/>
      <c r="L283" s="71"/>
      <c r="M283" s="72"/>
      <c r="N283" s="68"/>
      <c r="O283" s="66"/>
      <c r="P283" s="68"/>
      <c r="Q283" s="68"/>
      <c r="R283" s="68"/>
      <c r="S283" s="68"/>
      <c r="T283" s="68"/>
      <c r="U283" s="68"/>
      <c r="V283" s="68"/>
      <c r="W283" s="68"/>
      <c r="X283" s="73"/>
    </row>
    <row r="284" spans="1:24" ht="13.5" thickBot="1">
      <c r="A284" s="422"/>
      <c r="B284" s="151"/>
      <c r="C284" s="133" t="s">
        <v>56</v>
      </c>
      <c r="D284" s="134"/>
      <c r="E284" s="135"/>
      <c r="F284" s="133"/>
      <c r="G284" s="136"/>
      <c r="H284" s="143">
        <f t="shared" si="7"/>
        <v>142.51999999999998</v>
      </c>
      <c r="I284" s="144">
        <f>68.931+73.589</f>
        <v>142.51999999999998</v>
      </c>
      <c r="J284" s="145"/>
      <c r="K284" s="78"/>
      <c r="L284" s="79"/>
      <c r="M284" s="80"/>
      <c r="N284" s="76"/>
      <c r="O284" s="74"/>
      <c r="P284" s="76"/>
      <c r="Q284" s="76"/>
      <c r="R284" s="76"/>
      <c r="S284" s="76"/>
      <c r="T284" s="76"/>
      <c r="U284" s="76"/>
      <c r="V284" s="76"/>
      <c r="W284" s="76"/>
      <c r="X284" s="81"/>
    </row>
    <row r="285" spans="1:24" ht="15">
      <c r="A285" s="420" t="s">
        <v>231</v>
      </c>
      <c r="B285" s="273" t="s">
        <v>232</v>
      </c>
      <c r="C285" s="197" t="s">
        <v>54</v>
      </c>
      <c r="D285" s="198"/>
      <c r="E285" s="199"/>
      <c r="F285" s="197"/>
      <c r="G285" s="200"/>
      <c r="H285" s="201">
        <f t="shared" si="7"/>
        <v>1.655</v>
      </c>
      <c r="I285" s="308"/>
      <c r="J285" s="203">
        <v>1.655</v>
      </c>
      <c r="K285" s="62"/>
      <c r="L285" s="63"/>
      <c r="M285" s="64"/>
      <c r="N285" s="57"/>
      <c r="O285" s="55"/>
      <c r="P285" s="57"/>
      <c r="Q285" s="57"/>
      <c r="R285" s="57"/>
      <c r="S285" s="57"/>
      <c r="T285" s="57"/>
      <c r="U285" s="57"/>
      <c r="V285" s="57"/>
      <c r="W285" s="57"/>
      <c r="X285" s="65"/>
    </row>
    <row r="286" spans="1:24" ht="15">
      <c r="A286" s="421"/>
      <c r="B286" s="275"/>
      <c r="C286" s="205" t="s">
        <v>55</v>
      </c>
      <c r="D286" s="206"/>
      <c r="E286" s="207"/>
      <c r="F286" s="205"/>
      <c r="G286" s="208"/>
      <c r="H286" s="209">
        <f t="shared" si="7"/>
        <v>2</v>
      </c>
      <c r="I286" s="262"/>
      <c r="J286" s="211">
        <v>2</v>
      </c>
      <c r="K286" s="70"/>
      <c r="L286" s="71"/>
      <c r="M286" s="72"/>
      <c r="N286" s="68"/>
      <c r="O286" s="66"/>
      <c r="P286" s="68"/>
      <c r="Q286" s="68"/>
      <c r="R286" s="68"/>
      <c r="S286" s="68"/>
      <c r="T286" s="68"/>
      <c r="U286" s="68"/>
      <c r="V286" s="68"/>
      <c r="W286" s="68"/>
      <c r="X286" s="73"/>
    </row>
    <row r="287" spans="1:24" ht="13.5" thickBot="1">
      <c r="A287" s="422"/>
      <c r="B287" s="276"/>
      <c r="C287" s="213" t="s">
        <v>56</v>
      </c>
      <c r="D287" s="214"/>
      <c r="E287" s="215"/>
      <c r="F287" s="213"/>
      <c r="G287" s="216"/>
      <c r="H287" s="217">
        <f t="shared" si="7"/>
        <v>488.04200000000003</v>
      </c>
      <c r="I287" s="263"/>
      <c r="J287" s="219">
        <v>488.04200000000003</v>
      </c>
      <c r="K287" s="78"/>
      <c r="L287" s="79"/>
      <c r="M287" s="80"/>
      <c r="N287" s="76"/>
      <c r="O287" s="74"/>
      <c r="P287" s="76"/>
      <c r="Q287" s="76"/>
      <c r="R287" s="76"/>
      <c r="S287" s="76"/>
      <c r="T287" s="76"/>
      <c r="U287" s="76"/>
      <c r="V287" s="76"/>
      <c r="W287" s="76"/>
      <c r="X287" s="81"/>
    </row>
    <row r="288" spans="1:24" ht="15">
      <c r="A288" s="420" t="s">
        <v>233</v>
      </c>
      <c r="B288" s="273" t="s">
        <v>234</v>
      </c>
      <c r="C288" s="197" t="s">
        <v>54</v>
      </c>
      <c r="D288" s="198"/>
      <c r="E288" s="199"/>
      <c r="F288" s="197"/>
      <c r="G288" s="200"/>
      <c r="H288" s="220">
        <f t="shared" si="7"/>
        <v>0.325</v>
      </c>
      <c r="I288" s="227"/>
      <c r="J288" s="222">
        <v>0.325</v>
      </c>
      <c r="K288" s="62"/>
      <c r="L288" s="63"/>
      <c r="M288" s="64"/>
      <c r="N288" s="57"/>
      <c r="O288" s="55"/>
      <c r="P288" s="57"/>
      <c r="Q288" s="57"/>
      <c r="R288" s="57"/>
      <c r="S288" s="57"/>
      <c r="T288" s="57"/>
      <c r="U288" s="57"/>
      <c r="V288" s="57"/>
      <c r="W288" s="57"/>
      <c r="X288" s="65"/>
    </row>
    <row r="289" spans="1:24" ht="15">
      <c r="A289" s="421"/>
      <c r="B289" s="275"/>
      <c r="C289" s="205" t="s">
        <v>55</v>
      </c>
      <c r="D289" s="206"/>
      <c r="E289" s="207"/>
      <c r="F289" s="205"/>
      <c r="G289" s="208"/>
      <c r="H289" s="209">
        <f t="shared" si="7"/>
        <v>1</v>
      </c>
      <c r="I289" s="210"/>
      <c r="J289" s="211">
        <v>1</v>
      </c>
      <c r="K289" s="70"/>
      <c r="L289" s="71"/>
      <c r="M289" s="72"/>
      <c r="N289" s="68"/>
      <c r="O289" s="66"/>
      <c r="P289" s="68"/>
      <c r="Q289" s="68"/>
      <c r="R289" s="68"/>
      <c r="S289" s="68"/>
      <c r="T289" s="68"/>
      <c r="U289" s="68"/>
      <c r="V289" s="68"/>
      <c r="W289" s="68"/>
      <c r="X289" s="73"/>
    </row>
    <row r="290" spans="1:24" ht="13.5" thickBot="1">
      <c r="A290" s="422"/>
      <c r="B290" s="276"/>
      <c r="C290" s="213" t="s">
        <v>56</v>
      </c>
      <c r="D290" s="214"/>
      <c r="E290" s="215"/>
      <c r="F290" s="213"/>
      <c r="G290" s="216"/>
      <c r="H290" s="224">
        <f t="shared" si="7"/>
        <v>113.883</v>
      </c>
      <c r="I290" s="228"/>
      <c r="J290" s="226">
        <v>113.883</v>
      </c>
      <c r="K290" s="78"/>
      <c r="L290" s="79"/>
      <c r="M290" s="80"/>
      <c r="N290" s="76"/>
      <c r="O290" s="74"/>
      <c r="P290" s="76"/>
      <c r="Q290" s="76"/>
      <c r="R290" s="76"/>
      <c r="S290" s="76"/>
      <c r="T290" s="76"/>
      <c r="U290" s="76"/>
      <c r="V290" s="76"/>
      <c r="W290" s="76"/>
      <c r="X290" s="81"/>
    </row>
    <row r="291" spans="1:24" ht="15">
      <c r="A291" s="420" t="s">
        <v>233</v>
      </c>
      <c r="B291" s="273" t="s">
        <v>235</v>
      </c>
      <c r="C291" s="197" t="s">
        <v>54</v>
      </c>
      <c r="D291" s="198"/>
      <c r="E291" s="199"/>
      <c r="F291" s="197"/>
      <c r="G291" s="200"/>
      <c r="H291" s="201">
        <f t="shared" si="7"/>
        <v>0.371</v>
      </c>
      <c r="I291" s="202"/>
      <c r="J291" s="203">
        <v>0.371</v>
      </c>
      <c r="K291" s="62"/>
      <c r="L291" s="63"/>
      <c r="M291" s="64"/>
      <c r="N291" s="57"/>
      <c r="O291" s="55"/>
      <c r="P291" s="57"/>
      <c r="Q291" s="57"/>
      <c r="R291" s="57"/>
      <c r="S291" s="57"/>
      <c r="T291" s="57"/>
      <c r="U291" s="57"/>
      <c r="V291" s="57"/>
      <c r="W291" s="57"/>
      <c r="X291" s="65"/>
    </row>
    <row r="292" spans="1:24" ht="15">
      <c r="A292" s="421"/>
      <c r="B292" s="275"/>
      <c r="C292" s="205" t="s">
        <v>55</v>
      </c>
      <c r="D292" s="206"/>
      <c r="E292" s="207"/>
      <c r="F292" s="205"/>
      <c r="G292" s="208"/>
      <c r="H292" s="209">
        <f t="shared" si="7"/>
        <v>1</v>
      </c>
      <c r="I292" s="210"/>
      <c r="J292" s="211">
        <v>1</v>
      </c>
      <c r="K292" s="70"/>
      <c r="L292" s="71"/>
      <c r="M292" s="72"/>
      <c r="N292" s="68"/>
      <c r="O292" s="66"/>
      <c r="P292" s="68"/>
      <c r="Q292" s="68"/>
      <c r="R292" s="68"/>
      <c r="S292" s="68"/>
      <c r="T292" s="68"/>
      <c r="U292" s="68"/>
      <c r="V292" s="68"/>
      <c r="W292" s="68"/>
      <c r="X292" s="73"/>
    </row>
    <row r="293" spans="1:24" ht="13.5" thickBot="1">
      <c r="A293" s="422"/>
      <c r="B293" s="276"/>
      <c r="C293" s="213" t="s">
        <v>56</v>
      </c>
      <c r="D293" s="214"/>
      <c r="E293" s="215"/>
      <c r="F293" s="213"/>
      <c r="G293" s="216"/>
      <c r="H293" s="217">
        <f t="shared" si="7"/>
        <v>108.01</v>
      </c>
      <c r="I293" s="218"/>
      <c r="J293" s="219">
        <v>108.01</v>
      </c>
      <c r="K293" s="78"/>
      <c r="L293" s="79"/>
      <c r="M293" s="80"/>
      <c r="N293" s="76"/>
      <c r="O293" s="74"/>
      <c r="P293" s="76"/>
      <c r="Q293" s="76"/>
      <c r="R293" s="76"/>
      <c r="S293" s="76"/>
      <c r="T293" s="76"/>
      <c r="U293" s="76"/>
      <c r="V293" s="76"/>
      <c r="W293" s="76"/>
      <c r="X293" s="81"/>
    </row>
    <row r="294" spans="1:24" ht="15">
      <c r="A294" s="420" t="s">
        <v>236</v>
      </c>
      <c r="B294" s="273" t="s">
        <v>237</v>
      </c>
      <c r="C294" s="197" t="s">
        <v>54</v>
      </c>
      <c r="D294" s="198"/>
      <c r="E294" s="199"/>
      <c r="F294" s="197"/>
      <c r="G294" s="200"/>
      <c r="H294" s="220">
        <f t="shared" si="7"/>
        <v>0.516</v>
      </c>
      <c r="I294" s="227"/>
      <c r="J294" s="222">
        <v>0.516</v>
      </c>
      <c r="K294" s="62"/>
      <c r="L294" s="63"/>
      <c r="M294" s="64"/>
      <c r="N294" s="57"/>
      <c r="O294" s="55"/>
      <c r="P294" s="57"/>
      <c r="Q294" s="57"/>
      <c r="R294" s="57"/>
      <c r="S294" s="57"/>
      <c r="T294" s="57"/>
      <c r="U294" s="57"/>
      <c r="V294" s="57"/>
      <c r="W294" s="57"/>
      <c r="X294" s="65"/>
    </row>
    <row r="295" spans="1:24" ht="15">
      <c r="A295" s="421"/>
      <c r="B295" s="275"/>
      <c r="C295" s="205" t="s">
        <v>55</v>
      </c>
      <c r="D295" s="206"/>
      <c r="E295" s="207"/>
      <c r="F295" s="205"/>
      <c r="G295" s="208"/>
      <c r="H295" s="209">
        <f t="shared" si="7"/>
        <v>1</v>
      </c>
      <c r="I295" s="210"/>
      <c r="J295" s="211">
        <v>1</v>
      </c>
      <c r="K295" s="70"/>
      <c r="L295" s="71"/>
      <c r="M295" s="72"/>
      <c r="N295" s="68"/>
      <c r="O295" s="66"/>
      <c r="P295" s="68"/>
      <c r="Q295" s="68"/>
      <c r="R295" s="68"/>
      <c r="S295" s="68"/>
      <c r="T295" s="68"/>
      <c r="U295" s="68"/>
      <c r="V295" s="68"/>
      <c r="W295" s="68"/>
      <c r="X295" s="73"/>
    </row>
    <row r="296" spans="1:24" ht="13.5" thickBot="1">
      <c r="A296" s="422"/>
      <c r="B296" s="276"/>
      <c r="C296" s="213" t="s">
        <v>56</v>
      </c>
      <c r="D296" s="214"/>
      <c r="E296" s="215"/>
      <c r="F296" s="213"/>
      <c r="G296" s="216"/>
      <c r="H296" s="224">
        <f t="shared" si="7"/>
        <v>162.677</v>
      </c>
      <c r="I296" s="228"/>
      <c r="J296" s="226">
        <v>162.677</v>
      </c>
      <c r="K296" s="78"/>
      <c r="L296" s="79"/>
      <c r="M296" s="80"/>
      <c r="N296" s="76"/>
      <c r="O296" s="74"/>
      <c r="P296" s="76"/>
      <c r="Q296" s="76"/>
      <c r="R296" s="76"/>
      <c r="S296" s="76"/>
      <c r="T296" s="76"/>
      <c r="U296" s="76"/>
      <c r="V296" s="76"/>
      <c r="W296" s="76"/>
      <c r="X296" s="81"/>
    </row>
    <row r="297" spans="1:24" ht="15">
      <c r="A297" s="420" t="s">
        <v>238</v>
      </c>
      <c r="B297" s="278" t="s">
        <v>239</v>
      </c>
      <c r="C297" s="279" t="s">
        <v>54</v>
      </c>
      <c r="D297" s="280"/>
      <c r="E297" s="281"/>
      <c r="F297" s="279"/>
      <c r="G297" s="282"/>
      <c r="H297" s="283">
        <f t="shared" si="7"/>
        <v>1.523</v>
      </c>
      <c r="I297" s="284"/>
      <c r="J297" s="285">
        <f>1.523</f>
        <v>1.523</v>
      </c>
      <c r="K297" s="62"/>
      <c r="L297" s="63"/>
      <c r="M297" s="64"/>
      <c r="N297" s="57"/>
      <c r="O297" s="55"/>
      <c r="P297" s="57"/>
      <c r="Q297" s="57"/>
      <c r="R297" s="57"/>
      <c r="S297" s="57"/>
      <c r="T297" s="57"/>
      <c r="U297" s="57"/>
      <c r="V297" s="57"/>
      <c r="W297" s="57"/>
      <c r="X297" s="65"/>
    </row>
    <row r="298" spans="1:24" ht="15">
      <c r="A298" s="421"/>
      <c r="B298" s="286"/>
      <c r="C298" s="287" t="s">
        <v>55</v>
      </c>
      <c r="D298" s="288"/>
      <c r="E298" s="289"/>
      <c r="F298" s="287"/>
      <c r="G298" s="290"/>
      <c r="H298" s="291">
        <f t="shared" si="7"/>
        <v>1</v>
      </c>
      <c r="I298" s="292"/>
      <c r="J298" s="293">
        <f>1</f>
        <v>1</v>
      </c>
      <c r="K298" s="70"/>
      <c r="L298" s="71"/>
      <c r="M298" s="72"/>
      <c r="N298" s="68"/>
      <c r="O298" s="66"/>
      <c r="P298" s="68"/>
      <c r="Q298" s="68"/>
      <c r="R298" s="68"/>
      <c r="S298" s="68"/>
      <c r="T298" s="68"/>
      <c r="U298" s="68"/>
      <c r="V298" s="68"/>
      <c r="W298" s="68"/>
      <c r="X298" s="73"/>
    </row>
    <row r="299" spans="1:24" ht="13.5" thickBot="1">
      <c r="A299" s="422"/>
      <c r="B299" s="294"/>
      <c r="C299" s="295" t="s">
        <v>56</v>
      </c>
      <c r="D299" s="296"/>
      <c r="E299" s="297"/>
      <c r="F299" s="295"/>
      <c r="G299" s="298"/>
      <c r="H299" s="299">
        <f t="shared" si="7"/>
        <v>388.811</v>
      </c>
      <c r="I299" s="300"/>
      <c r="J299" s="301">
        <f>388.811</f>
        <v>388.811</v>
      </c>
      <c r="K299" s="78"/>
      <c r="L299" s="79"/>
      <c r="M299" s="80"/>
      <c r="N299" s="76"/>
      <c r="O299" s="74"/>
      <c r="P299" s="76"/>
      <c r="Q299" s="76"/>
      <c r="R299" s="76"/>
      <c r="S299" s="76"/>
      <c r="T299" s="76"/>
      <c r="U299" s="76"/>
      <c r="V299" s="76"/>
      <c r="W299" s="76"/>
      <c r="X299" s="81"/>
    </row>
    <row r="300" spans="1:24" ht="15">
      <c r="A300" s="420" t="s">
        <v>240</v>
      </c>
      <c r="B300" s="273" t="s">
        <v>241</v>
      </c>
      <c r="C300" s="197" t="s">
        <v>54</v>
      </c>
      <c r="D300" s="198"/>
      <c r="E300" s="199"/>
      <c r="F300" s="197"/>
      <c r="G300" s="200"/>
      <c r="H300" s="220">
        <f t="shared" si="7"/>
        <v>0.318</v>
      </c>
      <c r="I300" s="227"/>
      <c r="J300" s="268">
        <v>0.318</v>
      </c>
      <c r="K300" s="62"/>
      <c r="L300" s="63"/>
      <c r="M300" s="64"/>
      <c r="N300" s="57"/>
      <c r="O300" s="55"/>
      <c r="P300" s="57"/>
      <c r="Q300" s="57"/>
      <c r="R300" s="57"/>
      <c r="S300" s="57"/>
      <c r="T300" s="57"/>
      <c r="U300" s="57"/>
      <c r="V300" s="57"/>
      <c r="W300" s="57"/>
      <c r="X300" s="65"/>
    </row>
    <row r="301" spans="1:24" ht="15">
      <c r="A301" s="421"/>
      <c r="B301" s="275"/>
      <c r="C301" s="205" t="s">
        <v>55</v>
      </c>
      <c r="D301" s="206"/>
      <c r="E301" s="207"/>
      <c r="F301" s="205"/>
      <c r="G301" s="208"/>
      <c r="H301" s="209">
        <f t="shared" si="7"/>
        <v>1</v>
      </c>
      <c r="I301" s="210"/>
      <c r="J301" s="269">
        <v>1</v>
      </c>
      <c r="K301" s="70"/>
      <c r="L301" s="71"/>
      <c r="M301" s="72"/>
      <c r="N301" s="68"/>
      <c r="O301" s="66"/>
      <c r="P301" s="68"/>
      <c r="Q301" s="68"/>
      <c r="R301" s="68"/>
      <c r="S301" s="68"/>
      <c r="T301" s="68"/>
      <c r="U301" s="68"/>
      <c r="V301" s="68"/>
      <c r="W301" s="68"/>
      <c r="X301" s="73"/>
    </row>
    <row r="302" spans="1:24" ht="13.5" thickBot="1">
      <c r="A302" s="422"/>
      <c r="B302" s="276"/>
      <c r="C302" s="213" t="s">
        <v>56</v>
      </c>
      <c r="D302" s="214"/>
      <c r="E302" s="215"/>
      <c r="F302" s="213"/>
      <c r="G302" s="216"/>
      <c r="H302" s="224">
        <f t="shared" si="7"/>
        <v>100.377</v>
      </c>
      <c r="I302" s="228"/>
      <c r="J302" s="271">
        <v>100.377</v>
      </c>
      <c r="K302" s="78"/>
      <c r="L302" s="79"/>
      <c r="M302" s="80"/>
      <c r="N302" s="76"/>
      <c r="O302" s="74"/>
      <c r="P302" s="76"/>
      <c r="Q302" s="76"/>
      <c r="R302" s="76"/>
      <c r="S302" s="76"/>
      <c r="T302" s="76"/>
      <c r="U302" s="76"/>
      <c r="V302" s="76"/>
      <c r="W302" s="76"/>
      <c r="X302" s="81"/>
    </row>
    <row r="303" spans="1:24" ht="15">
      <c r="A303" s="420" t="s">
        <v>242</v>
      </c>
      <c r="B303" s="149" t="s">
        <v>243</v>
      </c>
      <c r="C303" s="117" t="s">
        <v>54</v>
      </c>
      <c r="D303" s="118"/>
      <c r="E303" s="119"/>
      <c r="F303" s="117"/>
      <c r="G303" s="120"/>
      <c r="H303" s="121">
        <f t="shared" si="7"/>
        <v>0.621</v>
      </c>
      <c r="I303" s="122">
        <f>0.317+0.304</f>
        <v>0.621</v>
      </c>
      <c r="J303" s="123"/>
      <c r="K303" s="62"/>
      <c r="L303" s="63"/>
      <c r="M303" s="64"/>
      <c r="N303" s="57"/>
      <c r="O303" s="55"/>
      <c r="P303" s="57"/>
      <c r="Q303" s="57"/>
      <c r="R303" s="57"/>
      <c r="S303" s="57"/>
      <c r="T303" s="57"/>
      <c r="U303" s="57"/>
      <c r="V303" s="57"/>
      <c r="W303" s="57"/>
      <c r="X303" s="65"/>
    </row>
    <row r="304" spans="1:24" ht="15">
      <c r="A304" s="421"/>
      <c r="B304" s="150"/>
      <c r="C304" s="125" t="s">
        <v>55</v>
      </c>
      <c r="D304" s="126"/>
      <c r="E304" s="127"/>
      <c r="F304" s="125"/>
      <c r="G304" s="128"/>
      <c r="H304" s="129">
        <f t="shared" si="7"/>
        <v>2</v>
      </c>
      <c r="I304" s="130">
        <f>1+1</f>
        <v>2</v>
      </c>
      <c r="J304" s="131"/>
      <c r="K304" s="70"/>
      <c r="L304" s="71"/>
      <c r="M304" s="72"/>
      <c r="N304" s="68"/>
      <c r="O304" s="66"/>
      <c r="P304" s="68"/>
      <c r="Q304" s="68"/>
      <c r="R304" s="68"/>
      <c r="S304" s="68"/>
      <c r="T304" s="68"/>
      <c r="U304" s="68"/>
      <c r="V304" s="68"/>
      <c r="W304" s="68"/>
      <c r="X304" s="73"/>
    </row>
    <row r="305" spans="1:24" ht="13.5" thickBot="1">
      <c r="A305" s="422"/>
      <c r="B305" s="151"/>
      <c r="C305" s="133" t="s">
        <v>56</v>
      </c>
      <c r="D305" s="134"/>
      <c r="E305" s="135"/>
      <c r="F305" s="133"/>
      <c r="G305" s="136"/>
      <c r="H305" s="137">
        <f t="shared" si="7"/>
        <v>165.768</v>
      </c>
      <c r="I305" s="138">
        <f>77.363+88.405</f>
        <v>165.768</v>
      </c>
      <c r="J305" s="139"/>
      <c r="K305" s="78"/>
      <c r="L305" s="79"/>
      <c r="M305" s="80"/>
      <c r="N305" s="76"/>
      <c r="O305" s="74"/>
      <c r="P305" s="76"/>
      <c r="Q305" s="76"/>
      <c r="R305" s="76"/>
      <c r="S305" s="76"/>
      <c r="T305" s="76"/>
      <c r="U305" s="76"/>
      <c r="V305" s="76"/>
      <c r="W305" s="76"/>
      <c r="X305" s="81"/>
    </row>
    <row r="306" spans="1:24" ht="15">
      <c r="A306" s="420" t="s">
        <v>244</v>
      </c>
      <c r="B306" s="149" t="s">
        <v>245</v>
      </c>
      <c r="C306" s="117" t="s">
        <v>54</v>
      </c>
      <c r="D306" s="118"/>
      <c r="E306" s="119"/>
      <c r="F306" s="117"/>
      <c r="G306" s="120"/>
      <c r="H306" s="140">
        <f t="shared" si="7"/>
        <v>0.568</v>
      </c>
      <c r="I306" s="141">
        <f>0.284+0.284</f>
        <v>0.568</v>
      </c>
      <c r="J306" s="142"/>
      <c r="K306" s="62"/>
      <c r="L306" s="63"/>
      <c r="M306" s="64"/>
      <c r="N306" s="57"/>
      <c r="O306" s="55"/>
      <c r="P306" s="57"/>
      <c r="Q306" s="57"/>
      <c r="R306" s="57"/>
      <c r="S306" s="57"/>
      <c r="T306" s="57"/>
      <c r="U306" s="57"/>
      <c r="V306" s="57"/>
      <c r="W306" s="57"/>
      <c r="X306" s="65"/>
    </row>
    <row r="307" spans="1:24" ht="15">
      <c r="A307" s="421"/>
      <c r="B307" s="150"/>
      <c r="C307" s="125" t="s">
        <v>55</v>
      </c>
      <c r="D307" s="126"/>
      <c r="E307" s="127"/>
      <c r="F307" s="125"/>
      <c r="G307" s="128"/>
      <c r="H307" s="129">
        <f t="shared" si="7"/>
        <v>2</v>
      </c>
      <c r="I307" s="130">
        <v>2</v>
      </c>
      <c r="J307" s="131"/>
      <c r="K307" s="70"/>
      <c r="L307" s="71"/>
      <c r="M307" s="72"/>
      <c r="N307" s="68"/>
      <c r="O307" s="66"/>
      <c r="P307" s="68"/>
      <c r="Q307" s="68"/>
      <c r="R307" s="68"/>
      <c r="S307" s="68"/>
      <c r="T307" s="68"/>
      <c r="U307" s="68"/>
      <c r="V307" s="68"/>
      <c r="W307" s="68"/>
      <c r="X307" s="73"/>
    </row>
    <row r="308" spans="1:24" ht="13.5" thickBot="1">
      <c r="A308" s="422"/>
      <c r="B308" s="151"/>
      <c r="C308" s="133" t="s">
        <v>56</v>
      </c>
      <c r="D308" s="134"/>
      <c r="E308" s="135"/>
      <c r="F308" s="133"/>
      <c r="G308" s="136"/>
      <c r="H308" s="143">
        <f t="shared" si="7"/>
        <v>148.823</v>
      </c>
      <c r="I308" s="144">
        <f>81.373+67.45</f>
        <v>148.823</v>
      </c>
      <c r="J308" s="145"/>
      <c r="K308" s="78"/>
      <c r="L308" s="79"/>
      <c r="M308" s="80"/>
      <c r="N308" s="76"/>
      <c r="O308" s="74"/>
      <c r="P308" s="76"/>
      <c r="Q308" s="76"/>
      <c r="R308" s="76"/>
      <c r="S308" s="76"/>
      <c r="T308" s="76"/>
      <c r="U308" s="76"/>
      <c r="V308" s="76"/>
      <c r="W308" s="76"/>
      <c r="X308" s="81"/>
    </row>
    <row r="309" spans="1:24" ht="15">
      <c r="A309" s="420" t="s">
        <v>246</v>
      </c>
      <c r="B309" s="149" t="s">
        <v>247</v>
      </c>
      <c r="C309" s="117" t="s">
        <v>54</v>
      </c>
      <c r="D309" s="118"/>
      <c r="E309" s="119"/>
      <c r="F309" s="117"/>
      <c r="G309" s="120"/>
      <c r="H309" s="121">
        <f t="shared" si="7"/>
        <v>0.574</v>
      </c>
      <c r="I309" s="122">
        <f>0.287+0.287</f>
        <v>0.574</v>
      </c>
      <c r="J309" s="123"/>
      <c r="K309" s="62"/>
      <c r="L309" s="63"/>
      <c r="M309" s="64"/>
      <c r="N309" s="57"/>
      <c r="O309" s="55"/>
      <c r="P309" s="57"/>
      <c r="Q309" s="57"/>
      <c r="R309" s="57"/>
      <c r="S309" s="57"/>
      <c r="T309" s="57"/>
      <c r="U309" s="57"/>
      <c r="V309" s="57"/>
      <c r="W309" s="57"/>
      <c r="X309" s="65"/>
    </row>
    <row r="310" spans="1:24" ht="15">
      <c r="A310" s="421"/>
      <c r="B310" s="150"/>
      <c r="C310" s="125" t="s">
        <v>55</v>
      </c>
      <c r="D310" s="126"/>
      <c r="E310" s="127"/>
      <c r="F310" s="125"/>
      <c r="G310" s="128"/>
      <c r="H310" s="129">
        <f t="shared" si="7"/>
        <v>2</v>
      </c>
      <c r="I310" s="130">
        <f>1+1</f>
        <v>2</v>
      </c>
      <c r="J310" s="131"/>
      <c r="K310" s="70"/>
      <c r="L310" s="71"/>
      <c r="M310" s="72"/>
      <c r="N310" s="68"/>
      <c r="O310" s="66"/>
      <c r="P310" s="68"/>
      <c r="Q310" s="68"/>
      <c r="R310" s="68"/>
      <c r="S310" s="68"/>
      <c r="T310" s="68"/>
      <c r="U310" s="68"/>
      <c r="V310" s="68"/>
      <c r="W310" s="68"/>
      <c r="X310" s="73"/>
    </row>
    <row r="311" spans="1:24" ht="13.5" thickBot="1">
      <c r="A311" s="422"/>
      <c r="B311" s="151"/>
      <c r="C311" s="133" t="s">
        <v>56</v>
      </c>
      <c r="D311" s="134"/>
      <c r="E311" s="135"/>
      <c r="F311" s="133"/>
      <c r="G311" s="136"/>
      <c r="H311" s="137">
        <f t="shared" si="7"/>
        <v>155.003</v>
      </c>
      <c r="I311" s="138">
        <f>79.755+75.248</f>
        <v>155.003</v>
      </c>
      <c r="J311" s="139"/>
      <c r="K311" s="78"/>
      <c r="L311" s="79"/>
      <c r="M311" s="80"/>
      <c r="N311" s="76"/>
      <c r="O311" s="74"/>
      <c r="P311" s="76"/>
      <c r="Q311" s="76"/>
      <c r="R311" s="76"/>
      <c r="S311" s="76"/>
      <c r="T311" s="76"/>
      <c r="U311" s="76"/>
      <c r="V311" s="76"/>
      <c r="W311" s="76"/>
      <c r="X311" s="81"/>
    </row>
    <row r="312" spans="1:24" ht="15">
      <c r="A312" s="420" t="s">
        <v>248</v>
      </c>
      <c r="B312" s="278" t="s">
        <v>249</v>
      </c>
      <c r="C312" s="279" t="s">
        <v>54</v>
      </c>
      <c r="D312" s="280"/>
      <c r="E312" s="281"/>
      <c r="F312" s="279"/>
      <c r="G312" s="282"/>
      <c r="H312" s="302">
        <f t="shared" si="7"/>
        <v>0.63</v>
      </c>
      <c r="I312" s="303"/>
      <c r="J312" s="304">
        <v>0.63</v>
      </c>
      <c r="K312" s="62"/>
      <c r="L312" s="63"/>
      <c r="M312" s="64"/>
      <c r="N312" s="57"/>
      <c r="O312" s="55"/>
      <c r="P312" s="57"/>
      <c r="Q312" s="57"/>
      <c r="R312" s="57"/>
      <c r="S312" s="57"/>
      <c r="T312" s="57"/>
      <c r="U312" s="57"/>
      <c r="V312" s="57"/>
      <c r="W312" s="57"/>
      <c r="X312" s="65"/>
    </row>
    <row r="313" spans="1:24" ht="15">
      <c r="A313" s="421"/>
      <c r="B313" s="286"/>
      <c r="C313" s="287" t="s">
        <v>55</v>
      </c>
      <c r="D313" s="288"/>
      <c r="E313" s="289"/>
      <c r="F313" s="287"/>
      <c r="G313" s="290"/>
      <c r="H313" s="291">
        <f t="shared" si="7"/>
        <v>2</v>
      </c>
      <c r="I313" s="292"/>
      <c r="J313" s="293">
        <v>2</v>
      </c>
      <c r="K313" s="70"/>
      <c r="L313" s="71"/>
      <c r="M313" s="72"/>
      <c r="N313" s="68"/>
      <c r="O313" s="66"/>
      <c r="P313" s="68"/>
      <c r="Q313" s="68"/>
      <c r="R313" s="68"/>
      <c r="S313" s="68"/>
      <c r="T313" s="68"/>
      <c r="U313" s="68"/>
      <c r="V313" s="68"/>
      <c r="W313" s="68"/>
      <c r="X313" s="73"/>
    </row>
    <row r="314" spans="1:24" ht="13.5" thickBot="1">
      <c r="A314" s="422"/>
      <c r="B314" s="294"/>
      <c r="C314" s="295" t="s">
        <v>56</v>
      </c>
      <c r="D314" s="296"/>
      <c r="E314" s="297"/>
      <c r="F314" s="295"/>
      <c r="G314" s="298"/>
      <c r="H314" s="305">
        <f t="shared" si="7"/>
        <v>184.16500000000002</v>
      </c>
      <c r="I314" s="306"/>
      <c r="J314" s="307">
        <v>184.16500000000002</v>
      </c>
      <c r="K314" s="78"/>
      <c r="L314" s="79"/>
      <c r="M314" s="80"/>
      <c r="N314" s="76"/>
      <c r="O314" s="74"/>
      <c r="P314" s="76"/>
      <c r="Q314" s="76"/>
      <c r="R314" s="76"/>
      <c r="S314" s="76"/>
      <c r="T314" s="76"/>
      <c r="U314" s="76"/>
      <c r="V314" s="76"/>
      <c r="W314" s="76"/>
      <c r="X314" s="81"/>
    </row>
    <row r="315" spans="1:24" ht="15">
      <c r="A315" s="420" t="s">
        <v>250</v>
      </c>
      <c r="B315" s="149" t="s">
        <v>251</v>
      </c>
      <c r="C315" s="117" t="s">
        <v>54</v>
      </c>
      <c r="D315" s="118"/>
      <c r="E315" s="119"/>
      <c r="F315" s="117"/>
      <c r="G315" s="120"/>
      <c r="H315" s="121">
        <f t="shared" si="7"/>
        <v>0.283</v>
      </c>
      <c r="I315" s="122">
        <v>0.283</v>
      </c>
      <c r="J315" s="123"/>
      <c r="K315" s="62"/>
      <c r="L315" s="63"/>
      <c r="M315" s="64"/>
      <c r="N315" s="57"/>
      <c r="O315" s="55"/>
      <c r="P315" s="57"/>
      <c r="Q315" s="57"/>
      <c r="R315" s="57"/>
      <c r="S315" s="57"/>
      <c r="T315" s="57"/>
      <c r="U315" s="57"/>
      <c r="V315" s="57"/>
      <c r="W315" s="57"/>
      <c r="X315" s="65"/>
    </row>
    <row r="316" spans="1:24" ht="15">
      <c r="A316" s="421"/>
      <c r="B316" s="150"/>
      <c r="C316" s="125" t="s">
        <v>55</v>
      </c>
      <c r="D316" s="126"/>
      <c r="E316" s="127"/>
      <c r="F316" s="125"/>
      <c r="G316" s="128"/>
      <c r="H316" s="129">
        <f t="shared" si="7"/>
        <v>1</v>
      </c>
      <c r="I316" s="130">
        <v>1</v>
      </c>
      <c r="J316" s="131"/>
      <c r="K316" s="70"/>
      <c r="L316" s="71"/>
      <c r="M316" s="72"/>
      <c r="N316" s="68"/>
      <c r="O316" s="66"/>
      <c r="P316" s="68"/>
      <c r="Q316" s="68"/>
      <c r="R316" s="68"/>
      <c r="S316" s="68"/>
      <c r="T316" s="68"/>
      <c r="U316" s="68"/>
      <c r="V316" s="68"/>
      <c r="W316" s="68"/>
      <c r="X316" s="73"/>
    </row>
    <row r="317" spans="1:24" ht="13.5" thickBot="1">
      <c r="A317" s="422"/>
      <c r="B317" s="151"/>
      <c r="C317" s="133" t="s">
        <v>56</v>
      </c>
      <c r="D317" s="134"/>
      <c r="E317" s="135"/>
      <c r="F317" s="133"/>
      <c r="G317" s="136"/>
      <c r="H317" s="137">
        <f t="shared" si="7"/>
        <v>89.529</v>
      </c>
      <c r="I317" s="138">
        <v>89.529</v>
      </c>
      <c r="J317" s="139"/>
      <c r="K317" s="78"/>
      <c r="L317" s="79"/>
      <c r="M317" s="80"/>
      <c r="N317" s="76"/>
      <c r="O317" s="74"/>
      <c r="P317" s="76"/>
      <c r="Q317" s="76"/>
      <c r="R317" s="76"/>
      <c r="S317" s="76"/>
      <c r="T317" s="76"/>
      <c r="U317" s="76"/>
      <c r="V317" s="76"/>
      <c r="W317" s="76"/>
      <c r="X317" s="81"/>
    </row>
    <row r="318" spans="1:24" ht="15">
      <c r="A318" s="420" t="s">
        <v>252</v>
      </c>
      <c r="B318" s="273" t="s">
        <v>253</v>
      </c>
      <c r="C318" s="197" t="s">
        <v>54</v>
      </c>
      <c r="D318" s="198"/>
      <c r="E318" s="199"/>
      <c r="F318" s="197"/>
      <c r="G318" s="200"/>
      <c r="H318" s="220">
        <f t="shared" si="7"/>
        <v>0.465</v>
      </c>
      <c r="I318" s="227"/>
      <c r="J318" s="203">
        <f>0.465</f>
        <v>0.465</v>
      </c>
      <c r="K318" s="62"/>
      <c r="L318" s="63"/>
      <c r="M318" s="64"/>
      <c r="N318" s="57"/>
      <c r="O318" s="55"/>
      <c r="P318" s="57"/>
      <c r="Q318" s="57"/>
      <c r="R318" s="57"/>
      <c r="S318" s="57"/>
      <c r="T318" s="57"/>
      <c r="U318" s="57"/>
      <c r="V318" s="57"/>
      <c r="W318" s="57"/>
      <c r="X318" s="65"/>
    </row>
    <row r="319" spans="1:24" ht="15">
      <c r="A319" s="421"/>
      <c r="B319" s="275"/>
      <c r="C319" s="205" t="s">
        <v>55</v>
      </c>
      <c r="D319" s="206"/>
      <c r="E319" s="207"/>
      <c r="F319" s="205"/>
      <c r="G319" s="208"/>
      <c r="H319" s="209">
        <f t="shared" si="7"/>
        <v>1</v>
      </c>
      <c r="I319" s="210"/>
      <c r="J319" s="211">
        <f>1</f>
        <v>1</v>
      </c>
      <c r="K319" s="70"/>
      <c r="L319" s="71"/>
      <c r="M319" s="72"/>
      <c r="N319" s="68"/>
      <c r="O319" s="66"/>
      <c r="P319" s="68"/>
      <c r="Q319" s="68"/>
      <c r="R319" s="68"/>
      <c r="S319" s="68"/>
      <c r="T319" s="68"/>
      <c r="U319" s="68"/>
      <c r="V319" s="68"/>
      <c r="W319" s="68"/>
      <c r="X319" s="73"/>
    </row>
    <row r="320" spans="1:24" ht="15" customHeight="1" thickBot="1">
      <c r="A320" s="422"/>
      <c r="B320" s="276"/>
      <c r="C320" s="213" t="s">
        <v>56</v>
      </c>
      <c r="D320" s="214"/>
      <c r="E320" s="215"/>
      <c r="F320" s="213"/>
      <c r="G320" s="216"/>
      <c r="H320" s="217">
        <f t="shared" si="7"/>
        <v>165.322</v>
      </c>
      <c r="I320" s="218"/>
      <c r="J320" s="219">
        <v>165.322</v>
      </c>
      <c r="K320" s="78"/>
      <c r="L320" s="79"/>
      <c r="M320" s="80"/>
      <c r="N320" s="76"/>
      <c r="O320" s="74"/>
      <c r="P320" s="76"/>
      <c r="Q320" s="76"/>
      <c r="R320" s="76"/>
      <c r="S320" s="76"/>
      <c r="T320" s="76"/>
      <c r="U320" s="76"/>
      <c r="V320" s="76"/>
      <c r="W320" s="76"/>
      <c r="X320" s="81"/>
    </row>
    <row r="324" spans="2:12" ht="15">
      <c r="B324" s="110" t="s">
        <v>254</v>
      </c>
      <c r="C324" s="110"/>
      <c r="D324" s="111"/>
      <c r="E324" s="111"/>
      <c r="F324" s="110"/>
      <c r="G324" s="110"/>
      <c r="H324" s="110"/>
      <c r="I324" s="110"/>
      <c r="J324" s="110" t="s">
        <v>255</v>
      </c>
      <c r="K324" s="112"/>
      <c r="L324" s="113"/>
    </row>
    <row r="325" spans="2:12" ht="15">
      <c r="B325" s="110"/>
      <c r="C325" s="110"/>
      <c r="D325" s="110"/>
      <c r="E325" s="110"/>
      <c r="F325" s="110"/>
      <c r="G325" s="110"/>
      <c r="H325" s="110"/>
      <c r="I325" s="110"/>
      <c r="K325" s="110"/>
      <c r="L325" s="30"/>
    </row>
    <row r="326" spans="3:12" ht="15">
      <c r="C326" s="110"/>
      <c r="D326" s="110"/>
      <c r="E326" s="110"/>
      <c r="F326" s="110"/>
      <c r="G326" s="110"/>
      <c r="H326" s="110"/>
      <c r="I326" s="110"/>
      <c r="J326" s="110"/>
      <c r="K326" s="110"/>
      <c r="L326" s="25"/>
    </row>
    <row r="327" spans="2:12" ht="15">
      <c r="B327" s="110" t="s">
        <v>20</v>
      </c>
      <c r="C327" s="110"/>
      <c r="D327" s="110"/>
      <c r="E327" s="110"/>
      <c r="F327" s="110"/>
      <c r="G327" s="110"/>
      <c r="H327" s="110"/>
      <c r="I327" s="110"/>
      <c r="J327" s="110" t="s">
        <v>256</v>
      </c>
      <c r="K327" s="110"/>
      <c r="L327" s="25"/>
    </row>
    <row r="328" spans="2:12" ht="15"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25"/>
    </row>
  </sheetData>
  <mergeCells count="117">
    <mergeCell ref="A309:A311"/>
    <mergeCell ref="A312:A314"/>
    <mergeCell ref="A315:A317"/>
    <mergeCell ref="A318:A320"/>
    <mergeCell ref="A291:A293"/>
    <mergeCell ref="A294:A296"/>
    <mergeCell ref="A297:A299"/>
    <mergeCell ref="A300:A302"/>
    <mergeCell ref="A303:A305"/>
    <mergeCell ref="A306:A308"/>
    <mergeCell ref="A276:A278"/>
    <mergeCell ref="A279:A281"/>
    <mergeCell ref="A282:A284"/>
    <mergeCell ref="A285:A287"/>
    <mergeCell ref="A288:A290"/>
    <mergeCell ref="A267:A269"/>
    <mergeCell ref="A270:A272"/>
    <mergeCell ref="A273:A275"/>
    <mergeCell ref="A258:A260"/>
    <mergeCell ref="A261:A263"/>
    <mergeCell ref="A264:A266"/>
    <mergeCell ref="A249:A251"/>
    <mergeCell ref="A252:A254"/>
    <mergeCell ref="A255:A257"/>
    <mergeCell ref="A240:A242"/>
    <mergeCell ref="A243:A245"/>
    <mergeCell ref="A246:A248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95:A197"/>
    <mergeCell ref="A198:A200"/>
    <mergeCell ref="A201:A203"/>
    <mergeCell ref="A186:A188"/>
    <mergeCell ref="A189:A191"/>
    <mergeCell ref="A192:A194"/>
    <mergeCell ref="A177:A179"/>
    <mergeCell ref="A180:A182"/>
    <mergeCell ref="A183:A185"/>
    <mergeCell ref="A168:A170"/>
    <mergeCell ref="A171:A173"/>
    <mergeCell ref="A174:A176"/>
    <mergeCell ref="A159:A161"/>
    <mergeCell ref="A162:A164"/>
    <mergeCell ref="A165:A167"/>
    <mergeCell ref="A150:A152"/>
    <mergeCell ref="A153:A155"/>
    <mergeCell ref="A156:A158"/>
    <mergeCell ref="A141:A143"/>
    <mergeCell ref="A144:A146"/>
    <mergeCell ref="A147:A149"/>
    <mergeCell ref="A132:A134"/>
    <mergeCell ref="A135:A137"/>
    <mergeCell ref="A138:A140"/>
    <mergeCell ref="A123:A125"/>
    <mergeCell ref="A126:A128"/>
    <mergeCell ref="A129:A131"/>
    <mergeCell ref="A114:A116"/>
    <mergeCell ref="A117:A119"/>
    <mergeCell ref="A120:A122"/>
    <mergeCell ref="A105:A107"/>
    <mergeCell ref="A108:A110"/>
    <mergeCell ref="A111:A113"/>
    <mergeCell ref="A96:A98"/>
    <mergeCell ref="A99:A101"/>
    <mergeCell ref="A102:A104"/>
    <mergeCell ref="A84:A86"/>
    <mergeCell ref="A87:A89"/>
    <mergeCell ref="A93:A95"/>
    <mergeCell ref="A72:A74"/>
    <mergeCell ref="A75:A77"/>
    <mergeCell ref="A81:A83"/>
    <mergeCell ref="A63:A65"/>
    <mergeCell ref="A66:A68"/>
    <mergeCell ref="A69:A71"/>
    <mergeCell ref="A54:A56"/>
    <mergeCell ref="A57:A59"/>
    <mergeCell ref="A60:A62"/>
    <mergeCell ref="A45:A47"/>
    <mergeCell ref="A48:A50"/>
    <mergeCell ref="A51:A53"/>
    <mergeCell ref="A36:A38"/>
    <mergeCell ref="A39:A41"/>
    <mergeCell ref="A42:A44"/>
    <mergeCell ref="A27:A29"/>
    <mergeCell ref="A30:A32"/>
    <mergeCell ref="A33:A35"/>
    <mergeCell ref="A15:A17"/>
    <mergeCell ref="A18:A20"/>
    <mergeCell ref="A21:A23"/>
    <mergeCell ref="A24:A26"/>
    <mergeCell ref="E9:G9"/>
    <mergeCell ref="H9:J9"/>
    <mergeCell ref="K9:M9"/>
    <mergeCell ref="N9:O9"/>
    <mergeCell ref="P9:Q9"/>
    <mergeCell ref="A12:A14"/>
    <mergeCell ref="B12:B14"/>
    <mergeCell ref="A6:X6"/>
    <mergeCell ref="Q7:V7"/>
    <mergeCell ref="A8:A10"/>
    <mergeCell ref="B8:B10"/>
    <mergeCell ref="C8:C10"/>
    <mergeCell ref="D8:D10"/>
    <mergeCell ref="E8:Q8"/>
    <mergeCell ref="R8:T9"/>
    <mergeCell ref="U8:V9"/>
    <mergeCell ref="W8:X9"/>
  </mergeCells>
  <printOptions/>
  <pageMargins left="0.31496062992125984" right="0" top="0.15748031496062992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120" zoomScaleNormal="120" workbookViewId="0" topLeftCell="A145">
      <selection activeCell="M164" sqref="M164"/>
    </sheetView>
  </sheetViews>
  <sheetFormatPr defaultColWidth="9.140625" defaultRowHeight="15"/>
  <cols>
    <col min="1" max="1" width="4.7109375" style="8" customWidth="1"/>
    <col min="2" max="2" width="38.140625" style="0" customWidth="1"/>
    <col min="3" max="3" width="7.140625" style="4" customWidth="1"/>
    <col min="4" max="4" width="8.421875" style="4" customWidth="1"/>
    <col min="5" max="5" width="9.7109375" style="4" customWidth="1"/>
    <col min="7" max="7" width="10.28125" style="0" customWidth="1"/>
    <col min="10" max="10" width="10.421875" style="0" bestFit="1" customWidth="1"/>
    <col min="12" max="12" width="9.421875" style="0" bestFit="1" customWidth="1"/>
  </cols>
  <sheetData>
    <row r="1" spans="4:5" ht="15">
      <c r="D1" s="5"/>
      <c r="E1" s="5"/>
    </row>
    <row r="2" ht="15.75">
      <c r="B2" s="438" t="s">
        <v>274</v>
      </c>
    </row>
    <row r="3" spans="1:7" ht="15">
      <c r="A3" s="423"/>
      <c r="B3" s="423"/>
      <c r="C3" s="423"/>
      <c r="D3" s="423"/>
      <c r="E3" s="423"/>
      <c r="F3" s="423"/>
      <c r="G3" s="423"/>
    </row>
    <row r="4" spans="1:7" ht="15">
      <c r="A4" s="424" t="s">
        <v>0</v>
      </c>
      <c r="B4" s="426" t="s">
        <v>22</v>
      </c>
      <c r="C4" s="428" t="s">
        <v>5</v>
      </c>
      <c r="D4" s="428"/>
      <c r="E4" s="429" t="s">
        <v>8</v>
      </c>
      <c r="F4" s="431" t="s">
        <v>3</v>
      </c>
      <c r="G4" s="431" t="s">
        <v>1</v>
      </c>
    </row>
    <row r="5" spans="1:7" ht="15.75" customHeight="1">
      <c r="A5" s="425"/>
      <c r="B5" s="427"/>
      <c r="C5" s="329" t="s">
        <v>6</v>
      </c>
      <c r="D5" s="329" t="s">
        <v>7</v>
      </c>
      <c r="E5" s="430"/>
      <c r="F5" s="432"/>
      <c r="G5" s="432"/>
    </row>
    <row r="6" spans="1:7" ht="15" customHeight="1">
      <c r="A6" s="435" t="s">
        <v>4</v>
      </c>
      <c r="B6" s="436"/>
      <c r="C6" s="436"/>
      <c r="D6" s="436"/>
      <c r="E6" s="436"/>
      <c r="F6" s="436"/>
      <c r="G6" s="437"/>
    </row>
    <row r="7" spans="1:7" s="11" customFormat="1" ht="15" customHeight="1">
      <c r="A7" s="1">
        <v>1</v>
      </c>
      <c r="B7" s="439" t="s">
        <v>24</v>
      </c>
      <c r="C7" s="347">
        <f>1+1</f>
        <v>2</v>
      </c>
      <c r="D7" s="346">
        <f>0.279+0.283</f>
        <v>0.562</v>
      </c>
      <c r="E7" s="346">
        <f>81.245+79.548</f>
        <v>160.793</v>
      </c>
      <c r="F7" s="13" t="s">
        <v>4</v>
      </c>
      <c r="G7" s="13"/>
    </row>
    <row r="8" spans="1:7" s="11" customFormat="1" ht="15" customHeight="1">
      <c r="A8" s="1">
        <v>2</v>
      </c>
      <c r="B8" s="439" t="s">
        <v>63</v>
      </c>
      <c r="C8" s="347">
        <f>1+1</f>
        <v>2</v>
      </c>
      <c r="D8" s="346">
        <f>0.288+0.288</f>
        <v>0.576</v>
      </c>
      <c r="E8" s="346">
        <f>78.936+80.021</f>
        <v>158.957</v>
      </c>
      <c r="F8" s="13" t="s">
        <v>4</v>
      </c>
      <c r="G8" s="13"/>
    </row>
    <row r="9" spans="1:7" s="11" customFormat="1" ht="15" customHeight="1">
      <c r="A9" s="1">
        <v>3</v>
      </c>
      <c r="B9" s="439" t="s">
        <v>135</v>
      </c>
      <c r="C9" s="347">
        <v>2</v>
      </c>
      <c r="D9" s="346">
        <v>0.7929999999999999</v>
      </c>
      <c r="E9" s="346">
        <v>247.085</v>
      </c>
      <c r="F9" s="13" t="s">
        <v>4</v>
      </c>
      <c r="G9" s="12"/>
    </row>
    <row r="10" spans="1:7" s="11" customFormat="1" ht="15" customHeight="1">
      <c r="A10" s="1"/>
      <c r="B10" s="15"/>
      <c r="C10" s="348">
        <f>SUM(C7:C9)</f>
        <v>6</v>
      </c>
      <c r="D10" s="368">
        <f>SUM(D7:D8)</f>
        <v>1.138</v>
      </c>
      <c r="E10" s="17">
        <f>SUM(E7:E8)</f>
        <v>319.75</v>
      </c>
      <c r="F10" s="13"/>
      <c r="G10" s="13" t="s">
        <v>21</v>
      </c>
    </row>
    <row r="11" spans="1:7" s="11" customFormat="1" ht="15">
      <c r="A11" s="1">
        <v>4</v>
      </c>
      <c r="B11" s="439" t="s">
        <v>83</v>
      </c>
      <c r="C11" s="347">
        <f>1+1</f>
        <v>2</v>
      </c>
      <c r="D11" s="346">
        <f>0.643+0.699</f>
        <v>1.342</v>
      </c>
      <c r="E11" s="346">
        <f>239.84+181.211</f>
        <v>421.05100000000004</v>
      </c>
      <c r="F11" s="13" t="s">
        <v>4</v>
      </c>
      <c r="G11" s="12"/>
    </row>
    <row r="12" spans="1:7" s="4" customFormat="1" ht="15">
      <c r="A12" s="7">
        <v>5</v>
      </c>
      <c r="B12" s="440" t="s">
        <v>85</v>
      </c>
      <c r="C12" s="349">
        <v>1</v>
      </c>
      <c r="D12" s="334">
        <v>0.301</v>
      </c>
      <c r="E12" s="333">
        <v>108.417</v>
      </c>
      <c r="F12" s="3" t="s">
        <v>4</v>
      </c>
      <c r="G12" s="6"/>
    </row>
    <row r="13" spans="1:7" s="4" customFormat="1" ht="15">
      <c r="A13" s="7"/>
      <c r="B13" s="24"/>
      <c r="C13" s="350">
        <f>C12+C11</f>
        <v>3</v>
      </c>
      <c r="D13" s="335">
        <f aca="true" t="shared" si="0" ref="D13:E13">D12+D11</f>
        <v>1.643</v>
      </c>
      <c r="E13" s="335">
        <f t="shared" si="0"/>
        <v>529.4680000000001</v>
      </c>
      <c r="F13" s="336"/>
      <c r="G13" s="13" t="s">
        <v>23</v>
      </c>
    </row>
    <row r="14" spans="1:7" s="4" customFormat="1" ht="15">
      <c r="A14" s="7">
        <v>6</v>
      </c>
      <c r="B14" s="440" t="s">
        <v>98</v>
      </c>
      <c r="C14" s="351">
        <v>1</v>
      </c>
      <c r="D14" s="89">
        <v>0.334</v>
      </c>
      <c r="E14" s="89">
        <v>102.459</v>
      </c>
      <c r="F14" s="13" t="s">
        <v>4</v>
      </c>
      <c r="G14" s="3"/>
    </row>
    <row r="15" spans="1:7" s="11" customFormat="1" ht="15">
      <c r="A15" s="1">
        <v>7</v>
      </c>
      <c r="B15" s="439" t="s">
        <v>127</v>
      </c>
      <c r="C15" s="347">
        <v>1</v>
      </c>
      <c r="D15" s="346">
        <v>1.237</v>
      </c>
      <c r="E15" s="346">
        <v>319.995</v>
      </c>
      <c r="F15" s="13" t="s">
        <v>4</v>
      </c>
      <c r="G15" s="13"/>
    </row>
    <row r="16" spans="1:7" s="4" customFormat="1" ht="15">
      <c r="A16" s="7">
        <v>8</v>
      </c>
      <c r="B16" s="440" t="s">
        <v>137</v>
      </c>
      <c r="C16" s="351">
        <v>1</v>
      </c>
      <c r="D16" s="89">
        <v>0.325</v>
      </c>
      <c r="E16" s="89">
        <v>92.567</v>
      </c>
      <c r="F16" s="3" t="s">
        <v>4</v>
      </c>
      <c r="G16" s="3"/>
    </row>
    <row r="17" spans="1:7" ht="15">
      <c r="A17" s="1"/>
      <c r="B17" s="18"/>
      <c r="C17" s="352">
        <f>C16+C15+C14</f>
        <v>3</v>
      </c>
      <c r="D17" s="332">
        <f aca="true" t="shared" si="1" ref="D17:E17">D16+D15+D14</f>
        <v>1.8960000000000001</v>
      </c>
      <c r="E17" s="230">
        <f t="shared" si="1"/>
        <v>515.021</v>
      </c>
      <c r="F17" s="19"/>
      <c r="G17" s="444" t="s">
        <v>23</v>
      </c>
    </row>
    <row r="18" spans="1:7" s="11" customFormat="1" ht="15" customHeight="1">
      <c r="A18" s="1"/>
      <c r="B18" s="441"/>
      <c r="C18" s="442">
        <f>C10+C13+C17</f>
        <v>12</v>
      </c>
      <c r="D18" s="443">
        <f>D17+D13+D9+D10</f>
        <v>5.47</v>
      </c>
      <c r="E18" s="443">
        <f>E17+E13+E9+E10</f>
        <v>1611.324</v>
      </c>
      <c r="F18" s="444"/>
      <c r="G18" s="21"/>
    </row>
    <row r="19" spans="1:7" ht="15" customHeight="1">
      <c r="A19" s="462" t="s">
        <v>10</v>
      </c>
      <c r="B19" s="463"/>
      <c r="C19" s="463"/>
      <c r="D19" s="463"/>
      <c r="E19" s="463"/>
      <c r="F19" s="463"/>
      <c r="G19" s="464"/>
    </row>
    <row r="20" spans="1:7" s="11" customFormat="1" ht="15" customHeight="1">
      <c r="A20" s="1">
        <v>9</v>
      </c>
      <c r="B20" s="439" t="s">
        <v>67</v>
      </c>
      <c r="C20" s="347">
        <v>1</v>
      </c>
      <c r="D20" s="369">
        <v>0.282</v>
      </c>
      <c r="E20" s="369">
        <v>79.835</v>
      </c>
      <c r="F20" s="13" t="s">
        <v>10</v>
      </c>
      <c r="G20" s="258"/>
    </row>
    <row r="21" spans="1:7" s="11" customFormat="1" ht="15" customHeight="1">
      <c r="A21" s="1">
        <v>10</v>
      </c>
      <c r="B21" s="439" t="s">
        <v>69</v>
      </c>
      <c r="C21" s="347">
        <f>1+1</f>
        <v>2</v>
      </c>
      <c r="D21" s="369">
        <f>0.278+0.278</f>
        <v>0.556</v>
      </c>
      <c r="E21" s="369">
        <f>98.071+66.763</f>
        <v>164.834</v>
      </c>
      <c r="F21" s="13" t="s">
        <v>10</v>
      </c>
      <c r="G21" s="258"/>
    </row>
    <row r="22" spans="1:7" s="11" customFormat="1" ht="15">
      <c r="A22" s="1">
        <v>11</v>
      </c>
      <c r="B22" s="439" t="s">
        <v>75</v>
      </c>
      <c r="C22" s="347">
        <v>1</v>
      </c>
      <c r="D22" s="369">
        <v>0.278</v>
      </c>
      <c r="E22" s="369">
        <v>76.395</v>
      </c>
      <c r="F22" s="13" t="s">
        <v>10</v>
      </c>
      <c r="G22" s="258"/>
    </row>
    <row r="23" spans="1:7" s="11" customFormat="1" ht="15" customHeight="1">
      <c r="A23" s="1"/>
      <c r="B23" s="12"/>
      <c r="C23" s="348">
        <v>4</v>
      </c>
      <c r="D23" s="20">
        <f>SUM(D20:D22)</f>
        <v>1.116</v>
      </c>
      <c r="E23" s="20">
        <f>SUM(E20:E22)</f>
        <v>321.06399999999996</v>
      </c>
      <c r="F23" s="13"/>
      <c r="G23" s="13" t="s">
        <v>21</v>
      </c>
    </row>
    <row r="24" spans="1:7" s="4" customFormat="1" ht="15" customHeight="1">
      <c r="A24" s="7">
        <v>12</v>
      </c>
      <c r="B24" s="440" t="s">
        <v>147</v>
      </c>
      <c r="C24" s="351">
        <v>1</v>
      </c>
      <c r="D24" s="89">
        <v>0.398</v>
      </c>
      <c r="E24" s="89">
        <v>115.24</v>
      </c>
      <c r="F24" s="13" t="s">
        <v>10</v>
      </c>
      <c r="G24" s="6"/>
    </row>
    <row r="25" spans="1:7" s="4" customFormat="1" ht="15" customHeight="1">
      <c r="A25" s="7">
        <v>13</v>
      </c>
      <c r="B25" s="440" t="s">
        <v>171</v>
      </c>
      <c r="C25" s="351">
        <v>1</v>
      </c>
      <c r="D25" s="89">
        <v>0.336</v>
      </c>
      <c r="E25" s="89">
        <v>110.834</v>
      </c>
      <c r="F25" s="13" t="s">
        <v>10</v>
      </c>
      <c r="G25" s="6"/>
    </row>
    <row r="26" spans="1:7" s="4" customFormat="1" ht="15">
      <c r="A26" s="7">
        <v>14</v>
      </c>
      <c r="B26" s="440" t="s">
        <v>173</v>
      </c>
      <c r="C26" s="351">
        <v>1</v>
      </c>
      <c r="D26" s="89">
        <v>0.426</v>
      </c>
      <c r="E26" s="89">
        <v>107.498</v>
      </c>
      <c r="F26" s="13" t="s">
        <v>10</v>
      </c>
      <c r="G26" s="6"/>
    </row>
    <row r="27" spans="1:15" s="4" customFormat="1" ht="15">
      <c r="A27" s="7">
        <v>15</v>
      </c>
      <c r="B27" s="440" t="s">
        <v>191</v>
      </c>
      <c r="C27" s="353">
        <v>2</v>
      </c>
      <c r="D27" s="272">
        <v>0.555</v>
      </c>
      <c r="E27" s="272">
        <v>172.101</v>
      </c>
      <c r="F27" s="13" t="s">
        <v>10</v>
      </c>
      <c r="G27" s="6"/>
      <c r="J27" s="330"/>
      <c r="K27" s="331"/>
      <c r="L27" s="331"/>
      <c r="M27" s="331"/>
      <c r="N27" s="337"/>
      <c r="O27" s="338"/>
    </row>
    <row r="28" spans="1:7" s="4" customFormat="1" ht="15" customHeight="1">
      <c r="A28" s="7"/>
      <c r="B28" s="460"/>
      <c r="C28" s="354">
        <f>C27+C26+C25+C24</f>
        <v>5</v>
      </c>
      <c r="D28" s="325">
        <f aca="true" t="shared" si="2" ref="D28:E28">D27+D26+D25+D24</f>
        <v>1.7150000000000003</v>
      </c>
      <c r="E28" s="325">
        <f t="shared" si="2"/>
        <v>505.673</v>
      </c>
      <c r="F28" s="3"/>
      <c r="G28" s="13" t="s">
        <v>23</v>
      </c>
    </row>
    <row r="29" spans="1:7" s="4" customFormat="1" ht="15" customHeight="1">
      <c r="A29" s="7">
        <v>16</v>
      </c>
      <c r="B29" s="440" t="s">
        <v>109</v>
      </c>
      <c r="C29" s="351">
        <v>2</v>
      </c>
      <c r="D29" s="89">
        <v>0.753</v>
      </c>
      <c r="E29" s="89">
        <v>243.037</v>
      </c>
      <c r="F29" s="13" t="s">
        <v>10</v>
      </c>
      <c r="G29" s="3"/>
    </row>
    <row r="30" spans="1:7" s="4" customFormat="1" ht="15" customHeight="1">
      <c r="A30" s="7">
        <v>17</v>
      </c>
      <c r="B30" s="440" t="s">
        <v>141</v>
      </c>
      <c r="C30" s="351">
        <v>1</v>
      </c>
      <c r="D30" s="89">
        <v>0.411</v>
      </c>
      <c r="E30" s="89">
        <v>108.31</v>
      </c>
      <c r="F30" s="13" t="s">
        <v>10</v>
      </c>
      <c r="G30" s="3"/>
    </row>
    <row r="31" spans="1:7" s="4" customFormat="1" ht="15" customHeight="1">
      <c r="A31" s="7">
        <v>18</v>
      </c>
      <c r="B31" s="440" t="s">
        <v>183</v>
      </c>
      <c r="C31" s="351">
        <v>2</v>
      </c>
      <c r="D31" s="89">
        <v>0.746</v>
      </c>
      <c r="E31" s="89">
        <v>221.478</v>
      </c>
      <c r="F31" s="13" t="s">
        <v>10</v>
      </c>
      <c r="G31" s="3"/>
    </row>
    <row r="32" spans="2:7" ht="15" customHeight="1">
      <c r="B32" s="232"/>
      <c r="C32" s="354">
        <v>5</v>
      </c>
      <c r="D32" s="325">
        <f>SUM(D29:D31)</f>
        <v>1.91</v>
      </c>
      <c r="E32" s="325">
        <f>SUM(E29:E31)</f>
        <v>572.825</v>
      </c>
      <c r="F32" s="232"/>
      <c r="G32" s="13" t="s">
        <v>23</v>
      </c>
    </row>
    <row r="33" spans="1:7" s="11" customFormat="1" ht="15">
      <c r="A33" s="445"/>
      <c r="B33" s="441"/>
      <c r="C33" s="446">
        <f>C32+C28+C23</f>
        <v>14</v>
      </c>
      <c r="D33" s="20">
        <f>D32+D28+D23</f>
        <v>4.741</v>
      </c>
      <c r="E33" s="20">
        <f>E32+E28+E23</f>
        <v>1399.562</v>
      </c>
      <c r="F33" s="444"/>
      <c r="G33" s="441"/>
    </row>
    <row r="34" spans="1:7" ht="15" customHeight="1">
      <c r="A34" s="465" t="s">
        <v>9</v>
      </c>
      <c r="B34" s="466"/>
      <c r="C34" s="466"/>
      <c r="D34" s="466"/>
      <c r="E34" s="466"/>
      <c r="F34" s="466"/>
      <c r="G34" s="467"/>
    </row>
    <row r="35" spans="1:7" s="11" customFormat="1" ht="15" customHeight="1">
      <c r="A35" s="1">
        <v>19</v>
      </c>
      <c r="B35" s="439" t="s">
        <v>71</v>
      </c>
      <c r="C35" s="370">
        <v>2</v>
      </c>
      <c r="D35" s="10">
        <v>0.544</v>
      </c>
      <c r="E35" s="10">
        <v>168.57999999999998</v>
      </c>
      <c r="F35" s="13" t="s">
        <v>9</v>
      </c>
      <c r="G35" s="258"/>
    </row>
    <row r="36" spans="1:7" s="11" customFormat="1" ht="15">
      <c r="A36" s="1">
        <v>20</v>
      </c>
      <c r="B36" s="439" t="s">
        <v>73</v>
      </c>
      <c r="C36" s="347">
        <f>1+1</f>
        <v>2</v>
      </c>
      <c r="D36" s="346">
        <f>0.277+0.283</f>
        <v>0.56</v>
      </c>
      <c r="E36" s="346">
        <f>77.592+122.863</f>
        <v>200.45499999999998</v>
      </c>
      <c r="F36" s="13" t="s">
        <v>9</v>
      </c>
      <c r="G36" s="258"/>
    </row>
    <row r="37" spans="1:7" s="11" customFormat="1" ht="15">
      <c r="A37" s="1"/>
      <c r="B37" s="14"/>
      <c r="C37" s="371">
        <f>SUM(C35:C36)</f>
        <v>4</v>
      </c>
      <c r="D37" s="372">
        <f>SUM(D35:D36)</f>
        <v>1.104</v>
      </c>
      <c r="E37" s="17">
        <f>SUM(E35:E36)</f>
        <v>369.03499999999997</v>
      </c>
      <c r="F37" s="13"/>
      <c r="G37" s="13" t="s">
        <v>21</v>
      </c>
    </row>
    <row r="38" spans="1:7" s="4" customFormat="1" ht="15">
      <c r="A38" s="7">
        <v>21</v>
      </c>
      <c r="B38" s="440" t="s">
        <v>65</v>
      </c>
      <c r="C38" s="351">
        <v>1</v>
      </c>
      <c r="D38" s="89">
        <v>0.469</v>
      </c>
      <c r="E38" s="89">
        <v>135.653</v>
      </c>
      <c r="F38" s="3" t="s">
        <v>9</v>
      </c>
      <c r="G38" s="6"/>
    </row>
    <row r="39" spans="1:7" s="4" customFormat="1" ht="15">
      <c r="A39" s="7">
        <v>22</v>
      </c>
      <c r="B39" s="474" t="s">
        <v>270</v>
      </c>
      <c r="C39" s="355">
        <v>1</v>
      </c>
      <c r="D39" s="233">
        <v>0.387</v>
      </c>
      <c r="E39" s="233">
        <v>113.885</v>
      </c>
      <c r="F39" s="3" t="s">
        <v>9</v>
      </c>
      <c r="G39" s="6"/>
    </row>
    <row r="40" spans="1:7" s="4" customFormat="1" ht="15">
      <c r="A40" s="7">
        <v>23</v>
      </c>
      <c r="B40" s="440" t="s">
        <v>149</v>
      </c>
      <c r="C40" s="351">
        <v>1</v>
      </c>
      <c r="D40" s="89">
        <v>0.398</v>
      </c>
      <c r="E40" s="89">
        <v>111.819</v>
      </c>
      <c r="F40" s="3" t="s">
        <v>9</v>
      </c>
      <c r="G40" s="6"/>
    </row>
    <row r="41" spans="1:7" s="4" customFormat="1" ht="15">
      <c r="A41" s="7">
        <v>24</v>
      </c>
      <c r="B41" s="440" t="s">
        <v>249</v>
      </c>
      <c r="C41" s="351">
        <v>2</v>
      </c>
      <c r="D41" s="89">
        <v>0.63</v>
      </c>
      <c r="E41" s="89">
        <v>184.16500000000002</v>
      </c>
      <c r="F41" s="3" t="s">
        <v>9</v>
      </c>
      <c r="G41" s="6"/>
    </row>
    <row r="42" spans="1:7" s="4" customFormat="1" ht="15">
      <c r="A42" s="7"/>
      <c r="B42" s="339"/>
      <c r="C42" s="350">
        <f>C41+C40+C39+C38</f>
        <v>5</v>
      </c>
      <c r="D42" s="335">
        <f aca="true" t="shared" si="3" ref="D42:E42">D41+D40+D39+D38</f>
        <v>1.884</v>
      </c>
      <c r="E42" s="335">
        <f t="shared" si="3"/>
        <v>545.522</v>
      </c>
      <c r="F42" s="3"/>
      <c r="G42" s="13" t="s">
        <v>23</v>
      </c>
    </row>
    <row r="43" spans="1:7" s="4" customFormat="1" ht="15">
      <c r="A43" s="7">
        <v>25</v>
      </c>
      <c r="B43" s="440" t="s">
        <v>143</v>
      </c>
      <c r="C43" s="351">
        <v>1</v>
      </c>
      <c r="D43" s="89">
        <v>0.352</v>
      </c>
      <c r="E43" s="89">
        <v>106.241</v>
      </c>
      <c r="F43" s="3" t="s">
        <v>9</v>
      </c>
      <c r="G43" s="3"/>
    </row>
    <row r="44" spans="1:7" s="4" customFormat="1" ht="15">
      <c r="A44" s="7">
        <v>26</v>
      </c>
      <c r="B44" s="440" t="s">
        <v>145</v>
      </c>
      <c r="C44" s="351">
        <v>2</v>
      </c>
      <c r="D44" s="89">
        <v>0.667</v>
      </c>
      <c r="E44" s="89">
        <v>233.399</v>
      </c>
      <c r="F44" s="3" t="s">
        <v>9</v>
      </c>
      <c r="G44" s="3"/>
    </row>
    <row r="45" spans="1:7" s="4" customFormat="1" ht="15">
      <c r="A45" s="7">
        <v>27</v>
      </c>
      <c r="B45" s="440" t="s">
        <v>199</v>
      </c>
      <c r="C45" s="353">
        <v>3</v>
      </c>
      <c r="D45" s="272">
        <v>0.8639999999999999</v>
      </c>
      <c r="E45" s="272">
        <v>286.29200000000003</v>
      </c>
      <c r="F45" s="3" t="s">
        <v>9</v>
      </c>
      <c r="G45" s="3"/>
    </row>
    <row r="46" spans="1:7" ht="15">
      <c r="A46" s="1"/>
      <c r="B46" s="15"/>
      <c r="C46" s="348">
        <f>SUM(C43:C45)</f>
        <v>6</v>
      </c>
      <c r="D46" s="325">
        <f>D45+D44+D43</f>
        <v>1.883</v>
      </c>
      <c r="E46" s="325">
        <f>E45+E44+E43</f>
        <v>625.932</v>
      </c>
      <c r="F46" s="13"/>
      <c r="G46" s="13" t="s">
        <v>23</v>
      </c>
    </row>
    <row r="47" spans="1:7" s="11" customFormat="1" ht="15">
      <c r="A47" s="1"/>
      <c r="B47" s="12"/>
      <c r="C47" s="348">
        <f>C46+C42+C37</f>
        <v>15</v>
      </c>
      <c r="D47" s="20">
        <f>D46+D42+D37</f>
        <v>4.871</v>
      </c>
      <c r="E47" s="20">
        <f>E46+E42+E37</f>
        <v>1540.489</v>
      </c>
      <c r="F47" s="13"/>
      <c r="G47" s="12"/>
    </row>
    <row r="48" spans="1:11" ht="15" customHeight="1">
      <c r="A48" s="468" t="s">
        <v>11</v>
      </c>
      <c r="B48" s="469"/>
      <c r="C48" s="469"/>
      <c r="D48" s="469"/>
      <c r="E48" s="469"/>
      <c r="F48" s="469"/>
      <c r="G48" s="470"/>
      <c r="K48" s="344"/>
    </row>
    <row r="49" spans="1:11" s="11" customFormat="1" ht="15">
      <c r="A49" s="1">
        <v>28</v>
      </c>
      <c r="B49" s="439" t="s">
        <v>115</v>
      </c>
      <c r="C49" s="347">
        <v>2</v>
      </c>
      <c r="D49" s="346">
        <f>0.271+0.271</f>
        <v>0.542</v>
      </c>
      <c r="E49" s="346">
        <f>74.519+79.365</f>
        <v>153.88400000000001</v>
      </c>
      <c r="F49" s="13" t="s">
        <v>11</v>
      </c>
      <c r="G49" s="258"/>
      <c r="K49" s="356"/>
    </row>
    <row r="50" spans="1:11" s="11" customFormat="1" ht="15">
      <c r="A50" s="1">
        <v>29</v>
      </c>
      <c r="B50" s="439" t="s">
        <v>193</v>
      </c>
      <c r="C50" s="347">
        <f>1+1</f>
        <v>2</v>
      </c>
      <c r="D50" s="346">
        <f>0.286+0.286</f>
        <v>0.572</v>
      </c>
      <c r="E50" s="346">
        <f>71.503+97.406</f>
        <v>168.909</v>
      </c>
      <c r="F50" s="13" t="s">
        <v>11</v>
      </c>
      <c r="G50" s="258"/>
      <c r="K50" s="356"/>
    </row>
    <row r="51" spans="1:11" s="11" customFormat="1" ht="15">
      <c r="A51" s="1"/>
      <c r="B51" s="12"/>
      <c r="C51" s="348">
        <f>SUM(C49:C50)</f>
        <v>4</v>
      </c>
      <c r="D51" s="368">
        <f>SUM(D49:D50)</f>
        <v>1.1139999999999999</v>
      </c>
      <c r="E51" s="17">
        <f>SUM(E49:E50)</f>
        <v>322.793</v>
      </c>
      <c r="F51" s="13"/>
      <c r="G51" s="13" t="s">
        <v>21</v>
      </c>
      <c r="K51" s="356"/>
    </row>
    <row r="52" spans="1:11" s="4" customFormat="1" ht="15">
      <c r="A52" s="7">
        <v>30</v>
      </c>
      <c r="B52" s="440" t="s">
        <v>58</v>
      </c>
      <c r="C52" s="353">
        <v>2</v>
      </c>
      <c r="D52" s="272">
        <v>0.738</v>
      </c>
      <c r="E52" s="272">
        <v>249.277</v>
      </c>
      <c r="F52" s="13" t="s">
        <v>11</v>
      </c>
      <c r="G52" s="6"/>
      <c r="K52" s="345"/>
    </row>
    <row r="53" spans="1:11" s="4" customFormat="1" ht="15">
      <c r="A53" s="7">
        <v>31</v>
      </c>
      <c r="B53" s="440" t="s">
        <v>79</v>
      </c>
      <c r="C53" s="351">
        <v>1</v>
      </c>
      <c r="D53" s="89">
        <v>0.399</v>
      </c>
      <c r="E53" s="89">
        <v>159.062</v>
      </c>
      <c r="F53" s="13" t="s">
        <v>11</v>
      </c>
      <c r="G53" s="6"/>
      <c r="K53" s="345"/>
    </row>
    <row r="54" spans="1:11" s="4" customFormat="1" ht="15">
      <c r="A54" s="7">
        <v>32</v>
      </c>
      <c r="B54" s="440" t="s">
        <v>272</v>
      </c>
      <c r="C54" s="357">
        <v>1</v>
      </c>
      <c r="D54" s="259">
        <f>0.382</f>
        <v>0.382</v>
      </c>
      <c r="E54" s="259">
        <f>122.579</f>
        <v>122.579</v>
      </c>
      <c r="F54" s="13" t="s">
        <v>11</v>
      </c>
      <c r="G54" s="460"/>
      <c r="K54" s="345"/>
    </row>
    <row r="55" spans="1:11" s="4" customFormat="1" ht="15">
      <c r="A55" s="7">
        <v>33</v>
      </c>
      <c r="B55" s="440" t="s">
        <v>212</v>
      </c>
      <c r="C55" s="351">
        <v>1</v>
      </c>
      <c r="D55" s="89">
        <v>0.285</v>
      </c>
      <c r="E55" s="233">
        <v>140.821</v>
      </c>
      <c r="F55" s="13" t="s">
        <v>11</v>
      </c>
      <c r="G55" s="6"/>
      <c r="K55" s="345"/>
    </row>
    <row r="56" spans="1:11" s="4" customFormat="1" ht="15">
      <c r="A56" s="7"/>
      <c r="B56" s="440"/>
      <c r="C56" s="358">
        <f>C55+C54+C53+C52</f>
        <v>5</v>
      </c>
      <c r="D56" s="327">
        <f aca="true" t="shared" si="4" ref="D56:E56">D55+D54+D53+D52</f>
        <v>1.804</v>
      </c>
      <c r="E56" s="327">
        <f t="shared" si="4"/>
        <v>671.739</v>
      </c>
      <c r="F56" s="3"/>
      <c r="G56" s="13" t="s">
        <v>23</v>
      </c>
      <c r="K56" s="345"/>
    </row>
    <row r="57" spans="1:11" s="4" customFormat="1" ht="15">
      <c r="A57" s="7">
        <v>34</v>
      </c>
      <c r="B57" s="440" t="s">
        <v>94</v>
      </c>
      <c r="C57" s="351">
        <v>1</v>
      </c>
      <c r="D57" s="89">
        <v>0.349</v>
      </c>
      <c r="E57" s="89">
        <v>112.939</v>
      </c>
      <c r="F57" s="13" t="s">
        <v>11</v>
      </c>
      <c r="G57" s="3"/>
      <c r="K57" s="345"/>
    </row>
    <row r="58" spans="1:11" s="4" customFormat="1" ht="15">
      <c r="A58" s="7">
        <v>35</v>
      </c>
      <c r="B58" s="440" t="s">
        <v>157</v>
      </c>
      <c r="C58" s="351">
        <f>1+1</f>
        <v>2</v>
      </c>
      <c r="D58" s="89">
        <f>0.284+0.285</f>
        <v>0.569</v>
      </c>
      <c r="E58" s="89">
        <f>118.352+118.352</f>
        <v>236.704</v>
      </c>
      <c r="F58" s="13" t="s">
        <v>11</v>
      </c>
      <c r="G58" s="3"/>
      <c r="K58" s="345"/>
    </row>
    <row r="59" spans="1:11" s="4" customFormat="1" ht="15">
      <c r="A59" s="7">
        <v>36</v>
      </c>
      <c r="B59" s="440" t="s">
        <v>189</v>
      </c>
      <c r="C59" s="353">
        <v>1</v>
      </c>
      <c r="D59" s="272">
        <v>0.287</v>
      </c>
      <c r="E59" s="272">
        <v>89.675</v>
      </c>
      <c r="F59" s="13" t="s">
        <v>11</v>
      </c>
      <c r="G59" s="3"/>
      <c r="K59" s="345"/>
    </row>
    <row r="60" spans="1:11" s="4" customFormat="1" ht="15">
      <c r="A60" s="7">
        <v>37</v>
      </c>
      <c r="B60" s="440" t="s">
        <v>179</v>
      </c>
      <c r="C60" s="351">
        <v>2</v>
      </c>
      <c r="D60" s="89">
        <v>0.628</v>
      </c>
      <c r="E60" s="89">
        <v>265.52700000000004</v>
      </c>
      <c r="F60" s="13" t="s">
        <v>11</v>
      </c>
      <c r="G60" s="3"/>
      <c r="K60" s="345"/>
    </row>
    <row r="61" spans="1:11" ht="15">
      <c r="A61" s="1"/>
      <c r="B61" s="88"/>
      <c r="C61" s="358">
        <f>SUM(C57:C60)</f>
        <v>6</v>
      </c>
      <c r="D61" s="325">
        <f>SUM(D57:D60)</f>
        <v>1.8329999999999997</v>
      </c>
      <c r="E61" s="327">
        <f>SUM(E57:E60)</f>
        <v>704.845</v>
      </c>
      <c r="F61" s="232"/>
      <c r="G61" s="13" t="s">
        <v>23</v>
      </c>
      <c r="K61" s="22"/>
    </row>
    <row r="62" spans="1:11" s="11" customFormat="1" ht="15" customHeight="1">
      <c r="A62" s="1"/>
      <c r="B62" s="12"/>
      <c r="C62" s="348">
        <f>C61+C56+C51</f>
        <v>15</v>
      </c>
      <c r="D62" s="231">
        <f aca="true" t="shared" si="5" ref="D62:E62">D61+D56+D51</f>
        <v>4.7509999999999994</v>
      </c>
      <c r="E62" s="231">
        <f t="shared" si="5"/>
        <v>1699.377</v>
      </c>
      <c r="F62" s="13"/>
      <c r="G62" s="12"/>
      <c r="K62" s="356"/>
    </row>
    <row r="63" spans="1:11" ht="15" customHeight="1">
      <c r="A63" s="468" t="s">
        <v>12</v>
      </c>
      <c r="B63" s="469"/>
      <c r="C63" s="469"/>
      <c r="D63" s="469"/>
      <c r="E63" s="469"/>
      <c r="F63" s="469"/>
      <c r="G63" s="470"/>
      <c r="K63" s="22"/>
    </row>
    <row r="64" spans="1:11" s="11" customFormat="1" ht="15">
      <c r="A64" s="1">
        <v>38</v>
      </c>
      <c r="B64" s="439" t="s">
        <v>133</v>
      </c>
      <c r="C64" s="347">
        <f>1+1</f>
        <v>2</v>
      </c>
      <c r="D64" s="346">
        <f>0.305+0.305</f>
        <v>0.61</v>
      </c>
      <c r="E64" s="346">
        <f>79.28+85.319</f>
        <v>164.599</v>
      </c>
      <c r="F64" s="13" t="s">
        <v>12</v>
      </c>
      <c r="G64" s="258"/>
      <c r="K64" s="356"/>
    </row>
    <row r="65" spans="1:11" s="11" customFormat="1" ht="15">
      <c r="A65" s="1">
        <v>39</v>
      </c>
      <c r="B65" s="439" t="s">
        <v>224</v>
      </c>
      <c r="C65" s="347">
        <f>1+1</f>
        <v>2</v>
      </c>
      <c r="D65" s="346">
        <f>0.284+0.284</f>
        <v>0.568</v>
      </c>
      <c r="E65" s="346">
        <f>105.408+107.949</f>
        <v>213.357</v>
      </c>
      <c r="F65" s="13" t="s">
        <v>12</v>
      </c>
      <c r="G65" s="258"/>
      <c r="K65" s="356"/>
    </row>
    <row r="66" spans="1:11" s="11" customFormat="1" ht="15">
      <c r="A66" s="1"/>
      <c r="B66" s="12"/>
      <c r="C66" s="348">
        <f>SUM(C64:C65)</f>
        <v>4</v>
      </c>
      <c r="D66" s="368">
        <f>SUM(D64:D65)</f>
        <v>1.178</v>
      </c>
      <c r="E66" s="17">
        <f>SUM(E64:E65)</f>
        <v>377.956</v>
      </c>
      <c r="F66" s="13"/>
      <c r="G66" s="13" t="s">
        <v>21</v>
      </c>
      <c r="K66" s="356"/>
    </row>
    <row r="67" spans="1:11" s="4" customFormat="1" ht="15">
      <c r="A67" s="340">
        <v>40</v>
      </c>
      <c r="B67" s="440" t="s">
        <v>123</v>
      </c>
      <c r="C67" s="351">
        <v>1</v>
      </c>
      <c r="D67" s="89">
        <v>0.355</v>
      </c>
      <c r="E67" s="89">
        <v>114.649</v>
      </c>
      <c r="F67" s="3" t="s">
        <v>12</v>
      </c>
      <c r="G67" s="6"/>
      <c r="K67" s="345"/>
    </row>
    <row r="68" spans="1:11" s="4" customFormat="1" ht="15">
      <c r="A68" s="7">
        <v>41</v>
      </c>
      <c r="B68" s="440" t="s">
        <v>181</v>
      </c>
      <c r="C68" s="351">
        <v>2</v>
      </c>
      <c r="D68" s="89">
        <v>0.737</v>
      </c>
      <c r="E68" s="89">
        <v>257.81399999999996</v>
      </c>
      <c r="F68" s="13" t="s">
        <v>12</v>
      </c>
      <c r="G68" s="6"/>
      <c r="K68" s="345"/>
    </row>
    <row r="69" spans="1:11" s="4" customFormat="1" ht="15">
      <c r="A69" s="340">
        <v>42</v>
      </c>
      <c r="B69" s="440" t="s">
        <v>175</v>
      </c>
      <c r="C69" s="351">
        <v>2</v>
      </c>
      <c r="D69" s="89">
        <v>0.8140000000000001</v>
      </c>
      <c r="E69" s="89">
        <v>253.14999999999998</v>
      </c>
      <c r="F69" s="13" t="s">
        <v>12</v>
      </c>
      <c r="G69" s="6"/>
      <c r="K69" s="345"/>
    </row>
    <row r="70" spans="1:11" s="4" customFormat="1" ht="15">
      <c r="A70" s="7"/>
      <c r="B70" s="460"/>
      <c r="C70" s="354">
        <f>SUM(C67:C69)</f>
        <v>5</v>
      </c>
      <c r="D70" s="325">
        <f>SUM(D67:D69)</f>
        <v>1.9060000000000001</v>
      </c>
      <c r="E70" s="325">
        <f>SUM(E67:E69)</f>
        <v>625.6129999999999</v>
      </c>
      <c r="F70" s="3"/>
      <c r="G70" s="13" t="s">
        <v>23</v>
      </c>
      <c r="K70" s="345"/>
    </row>
    <row r="71" spans="1:11" s="4" customFormat="1" ht="15">
      <c r="A71" s="7">
        <v>43</v>
      </c>
      <c r="B71" s="440" t="s">
        <v>234</v>
      </c>
      <c r="C71" s="351">
        <v>1</v>
      </c>
      <c r="D71" s="89">
        <v>0.325</v>
      </c>
      <c r="E71" s="89">
        <v>113.883</v>
      </c>
      <c r="F71" s="13" t="s">
        <v>12</v>
      </c>
      <c r="G71" s="3"/>
      <c r="K71" s="345"/>
    </row>
    <row r="72" spans="1:11" s="4" customFormat="1" ht="15">
      <c r="A72" s="7">
        <v>44</v>
      </c>
      <c r="B72" s="440" t="s">
        <v>235</v>
      </c>
      <c r="C72" s="351">
        <v>1</v>
      </c>
      <c r="D72" s="89">
        <v>0.371</v>
      </c>
      <c r="E72" s="89">
        <v>108.01</v>
      </c>
      <c r="F72" s="13" t="s">
        <v>12</v>
      </c>
      <c r="G72" s="3"/>
      <c r="K72" s="345"/>
    </row>
    <row r="73" spans="1:11" s="4" customFormat="1" ht="15">
      <c r="A73" s="7">
        <v>45</v>
      </c>
      <c r="B73" s="440" t="s">
        <v>241</v>
      </c>
      <c r="C73" s="353">
        <v>1</v>
      </c>
      <c r="D73" s="272">
        <v>0.318</v>
      </c>
      <c r="E73" s="272">
        <v>100.377</v>
      </c>
      <c r="F73" s="13" t="s">
        <v>12</v>
      </c>
      <c r="G73" s="3"/>
      <c r="K73" s="345"/>
    </row>
    <row r="74" spans="1:11" s="4" customFormat="1" ht="15">
      <c r="A74" s="7">
        <v>46</v>
      </c>
      <c r="B74" s="440" t="s">
        <v>129</v>
      </c>
      <c r="C74" s="351">
        <f>1+1</f>
        <v>2</v>
      </c>
      <c r="D74" s="89">
        <f>0.34+0.34</f>
        <v>0.68</v>
      </c>
      <c r="E74" s="89">
        <f>129.329+144.765</f>
        <v>274.094</v>
      </c>
      <c r="F74" s="13" t="s">
        <v>12</v>
      </c>
      <c r="G74" s="3"/>
      <c r="K74" s="345"/>
    </row>
    <row r="75" spans="1:11" s="4" customFormat="1" ht="15">
      <c r="A75" s="7"/>
      <c r="B75" s="6"/>
      <c r="C75" s="359">
        <f>SUM(C71:C74)</f>
        <v>5</v>
      </c>
      <c r="D75" s="325">
        <f>SUM(D71:D74)</f>
        <v>1.694</v>
      </c>
      <c r="E75" s="325">
        <f>SUM(E71:E74)</f>
        <v>596.364</v>
      </c>
      <c r="F75" s="3"/>
      <c r="G75" s="13" t="s">
        <v>23</v>
      </c>
      <c r="K75" s="344"/>
    </row>
    <row r="76" spans="1:11" s="11" customFormat="1" ht="15">
      <c r="A76" s="1"/>
      <c r="B76" s="12"/>
      <c r="C76" s="348">
        <f>C75+C70+C66</f>
        <v>14</v>
      </c>
      <c r="D76" s="231">
        <f aca="true" t="shared" si="6" ref="D76:E76">D75+D70+D66</f>
        <v>4.7780000000000005</v>
      </c>
      <c r="E76" s="231">
        <f t="shared" si="6"/>
        <v>1599.933</v>
      </c>
      <c r="F76" s="13"/>
      <c r="G76" s="447"/>
      <c r="K76" s="356"/>
    </row>
    <row r="77" spans="1:7" ht="15" customHeight="1">
      <c r="A77" s="468" t="s">
        <v>13</v>
      </c>
      <c r="B77" s="469"/>
      <c r="C77" s="469"/>
      <c r="D77" s="469"/>
      <c r="E77" s="469"/>
      <c r="F77" s="469"/>
      <c r="G77" s="470"/>
    </row>
    <row r="78" spans="1:7" s="11" customFormat="1" ht="15" customHeight="1">
      <c r="A78" s="2">
        <v>47</v>
      </c>
      <c r="B78" s="439" t="s">
        <v>161</v>
      </c>
      <c r="C78" s="347">
        <v>1</v>
      </c>
      <c r="D78" s="346">
        <v>0.277</v>
      </c>
      <c r="E78" s="346">
        <v>74.708</v>
      </c>
      <c r="F78" s="13" t="s">
        <v>13</v>
      </c>
      <c r="G78" s="258"/>
    </row>
    <row r="79" spans="1:7" s="11" customFormat="1" ht="15" customHeight="1">
      <c r="A79" s="2">
        <v>48</v>
      </c>
      <c r="B79" s="439" t="s">
        <v>185</v>
      </c>
      <c r="C79" s="347">
        <f>1+1+1</f>
        <v>3</v>
      </c>
      <c r="D79" s="346">
        <f>0.29+0.289+0.289</f>
        <v>0.8679999999999999</v>
      </c>
      <c r="E79" s="346">
        <f>77.657+77.11+75.731</f>
        <v>230.498</v>
      </c>
      <c r="F79" s="13" t="s">
        <v>13</v>
      </c>
      <c r="G79" s="258"/>
    </row>
    <row r="80" spans="1:7" s="11" customFormat="1" ht="15">
      <c r="A80" s="2"/>
      <c r="B80" s="12"/>
      <c r="C80" s="348">
        <f>SUM(C78:C79)</f>
        <v>4</v>
      </c>
      <c r="D80" s="17">
        <f>SUM(D78:D79)</f>
        <v>1.145</v>
      </c>
      <c r="E80" s="17">
        <f>SUM(E78:E79)</f>
        <v>305.206</v>
      </c>
      <c r="F80" s="13"/>
      <c r="G80" s="13" t="s">
        <v>21</v>
      </c>
    </row>
    <row r="81" spans="1:7" s="4" customFormat="1" ht="15" customHeight="1">
      <c r="A81" s="340">
        <v>49</v>
      </c>
      <c r="B81" s="440" t="s">
        <v>102</v>
      </c>
      <c r="C81" s="351">
        <v>2</v>
      </c>
      <c r="D81" s="89">
        <v>0.802</v>
      </c>
      <c r="E81" s="89">
        <v>267.411</v>
      </c>
      <c r="F81" s="13" t="s">
        <v>13</v>
      </c>
      <c r="G81" s="6"/>
    </row>
    <row r="82" spans="1:7" s="4" customFormat="1" ht="15" customHeight="1">
      <c r="A82" s="340">
        <v>50</v>
      </c>
      <c r="B82" s="440" t="s">
        <v>113</v>
      </c>
      <c r="C82" s="351">
        <v>2</v>
      </c>
      <c r="D82" s="89">
        <v>1.0779999999999998</v>
      </c>
      <c r="E82" s="89">
        <v>322.504</v>
      </c>
      <c r="F82" s="13" t="s">
        <v>13</v>
      </c>
      <c r="G82" s="6"/>
    </row>
    <row r="83" spans="1:7" s="4" customFormat="1" ht="15" customHeight="1">
      <c r="A83" s="340"/>
      <c r="B83" s="460"/>
      <c r="C83" s="354">
        <f>SUM(C81:C82)</f>
        <v>4</v>
      </c>
      <c r="D83" s="325">
        <f>SUM(D81:D82)</f>
        <v>1.88</v>
      </c>
      <c r="E83" s="325">
        <f>SUM(E81:E82)</f>
        <v>589.915</v>
      </c>
      <c r="F83" s="3"/>
      <c r="G83" s="13" t="s">
        <v>23</v>
      </c>
    </row>
    <row r="84" spans="1:7" s="4" customFormat="1" ht="15">
      <c r="A84" s="340">
        <v>51</v>
      </c>
      <c r="B84" s="440" t="s">
        <v>60</v>
      </c>
      <c r="C84" s="351">
        <v>1</v>
      </c>
      <c r="D84" s="89">
        <v>0.408</v>
      </c>
      <c r="E84" s="89">
        <v>132.421</v>
      </c>
      <c r="F84" s="13" t="s">
        <v>13</v>
      </c>
      <c r="G84" s="3"/>
    </row>
    <row r="85" spans="1:7" s="4" customFormat="1" ht="15">
      <c r="A85" s="340">
        <v>52</v>
      </c>
      <c r="B85" s="440" t="s">
        <v>96</v>
      </c>
      <c r="C85" s="351">
        <v>1</v>
      </c>
      <c r="D85" s="89">
        <v>0.381</v>
      </c>
      <c r="E85" s="89">
        <v>111.35</v>
      </c>
      <c r="F85" s="13" t="s">
        <v>13</v>
      </c>
      <c r="G85" s="3"/>
    </row>
    <row r="86" spans="1:7" s="4" customFormat="1" ht="15" customHeight="1">
      <c r="A86" s="340">
        <v>53</v>
      </c>
      <c r="B86" s="440" t="s">
        <v>97</v>
      </c>
      <c r="C86" s="351">
        <v>1</v>
      </c>
      <c r="D86" s="89">
        <v>0.346</v>
      </c>
      <c r="E86" s="89">
        <v>116.351</v>
      </c>
      <c r="F86" s="13" t="s">
        <v>13</v>
      </c>
      <c r="G86" s="3"/>
    </row>
    <row r="87" spans="1:7" s="4" customFormat="1" ht="15" customHeight="1">
      <c r="A87" s="340">
        <v>54</v>
      </c>
      <c r="B87" s="440" t="s">
        <v>159</v>
      </c>
      <c r="C87" s="351">
        <v>2</v>
      </c>
      <c r="D87" s="89">
        <v>0.939</v>
      </c>
      <c r="E87" s="89">
        <v>263.649</v>
      </c>
      <c r="F87" s="13" t="s">
        <v>13</v>
      </c>
      <c r="G87" s="3"/>
    </row>
    <row r="88" spans="1:7" s="4" customFormat="1" ht="15" customHeight="1">
      <c r="A88" s="340">
        <v>55</v>
      </c>
      <c r="B88" s="440" t="s">
        <v>226</v>
      </c>
      <c r="C88" s="351">
        <v>1</v>
      </c>
      <c r="D88" s="89">
        <v>0.331</v>
      </c>
      <c r="E88" s="89">
        <v>115.811</v>
      </c>
      <c r="F88" s="13" t="s">
        <v>13</v>
      </c>
      <c r="G88" s="3"/>
    </row>
    <row r="89" spans="1:7" ht="15" customHeight="1">
      <c r="A89" s="2"/>
      <c r="B89" s="16"/>
      <c r="C89" s="359">
        <f>C88+C87+C86+C85+C84</f>
        <v>6</v>
      </c>
      <c r="D89" s="260">
        <f aca="true" t="shared" si="7" ref="D89:E89">D88+D87+D86+D85+D84</f>
        <v>2.4050000000000002</v>
      </c>
      <c r="E89" s="260">
        <f t="shared" si="7"/>
        <v>739.5820000000001</v>
      </c>
      <c r="F89" s="13"/>
      <c r="G89" s="13" t="s">
        <v>23</v>
      </c>
    </row>
    <row r="90" spans="1:10" s="11" customFormat="1" ht="15">
      <c r="A90" s="1"/>
      <c r="B90" s="12"/>
      <c r="C90" s="348">
        <f>C89+C83+C80</f>
        <v>14</v>
      </c>
      <c r="D90" s="20">
        <f aca="true" t="shared" si="8" ref="D90:E90">D89+D83+D80</f>
        <v>5.43</v>
      </c>
      <c r="E90" s="20">
        <f t="shared" si="8"/>
        <v>1634.703</v>
      </c>
      <c r="F90" s="13"/>
      <c r="G90" s="12"/>
      <c r="J90" s="448"/>
    </row>
    <row r="91" spans="1:7" s="4" customFormat="1" ht="15" customHeight="1">
      <c r="A91" s="471" t="s">
        <v>14</v>
      </c>
      <c r="B91" s="472"/>
      <c r="C91" s="472"/>
      <c r="D91" s="472"/>
      <c r="E91" s="472"/>
      <c r="F91" s="472"/>
      <c r="G91" s="473"/>
    </row>
    <row r="92" spans="1:7" s="11" customFormat="1" ht="15">
      <c r="A92" s="2">
        <v>56</v>
      </c>
      <c r="B92" s="439" t="s">
        <v>195</v>
      </c>
      <c r="C92" s="373">
        <v>2</v>
      </c>
      <c r="D92" s="10">
        <v>0.578</v>
      </c>
      <c r="E92" s="10">
        <v>164.177</v>
      </c>
      <c r="F92" s="13" t="s">
        <v>14</v>
      </c>
      <c r="G92" s="258"/>
    </row>
    <row r="93" spans="1:7" s="11" customFormat="1" ht="15">
      <c r="A93" s="1">
        <v>57</v>
      </c>
      <c r="B93" s="439" t="s">
        <v>197</v>
      </c>
      <c r="C93" s="347">
        <f>1+1</f>
        <v>2</v>
      </c>
      <c r="D93" s="346">
        <f>0.279+0.279</f>
        <v>0.558</v>
      </c>
      <c r="E93" s="346">
        <f>77.974+72.259</f>
        <v>150.233</v>
      </c>
      <c r="F93" s="13" t="s">
        <v>14</v>
      </c>
      <c r="G93" s="258"/>
    </row>
    <row r="94" spans="1:7" s="11" customFormat="1" ht="15">
      <c r="A94" s="2"/>
      <c r="B94" s="12"/>
      <c r="C94" s="348">
        <f>C93+C92</f>
        <v>4</v>
      </c>
      <c r="D94" s="20">
        <f aca="true" t="shared" si="9" ref="D94:E94">D93+D92</f>
        <v>1.1360000000000001</v>
      </c>
      <c r="E94" s="20">
        <f t="shared" si="9"/>
        <v>314.40999999999997</v>
      </c>
      <c r="F94" s="13"/>
      <c r="G94" s="13" t="s">
        <v>21</v>
      </c>
    </row>
    <row r="95" spans="1:7" s="4" customFormat="1" ht="15">
      <c r="A95" s="7">
        <v>58</v>
      </c>
      <c r="B95" s="440" t="s">
        <v>121</v>
      </c>
      <c r="C95" s="351">
        <v>2</v>
      </c>
      <c r="D95" s="89">
        <v>1.3</v>
      </c>
      <c r="E95" s="89">
        <v>393.58299999999997</v>
      </c>
      <c r="F95" s="3" t="s">
        <v>14</v>
      </c>
      <c r="G95" s="6"/>
    </row>
    <row r="96" spans="1:7" s="4" customFormat="1" ht="15">
      <c r="A96" s="340">
        <v>59</v>
      </c>
      <c r="B96" s="440" t="s">
        <v>273</v>
      </c>
      <c r="C96" s="351">
        <v>1</v>
      </c>
      <c r="D96" s="362">
        <f>1.486</f>
        <v>1.486</v>
      </c>
      <c r="E96" s="363">
        <f>301.005</f>
        <v>301.005</v>
      </c>
      <c r="F96" s="3" t="s">
        <v>14</v>
      </c>
      <c r="G96" s="6"/>
    </row>
    <row r="97" spans="1:7" s="4" customFormat="1" ht="15">
      <c r="A97" s="7">
        <v>60</v>
      </c>
      <c r="B97" s="440" t="s">
        <v>77</v>
      </c>
      <c r="C97" s="351">
        <v>2</v>
      </c>
      <c r="D97" s="89">
        <v>1.315</v>
      </c>
      <c r="E97" s="361">
        <v>432.874</v>
      </c>
      <c r="F97" s="3" t="s">
        <v>14</v>
      </c>
      <c r="G97" s="6"/>
    </row>
    <row r="98" spans="1:7" s="4" customFormat="1" ht="15">
      <c r="A98" s="340">
        <v>61</v>
      </c>
      <c r="B98" s="440" t="s">
        <v>89</v>
      </c>
      <c r="C98" s="351">
        <v>1</v>
      </c>
      <c r="D98" s="89">
        <v>0.85</v>
      </c>
      <c r="E98" s="89">
        <v>248.415</v>
      </c>
      <c r="F98" s="3" t="s">
        <v>14</v>
      </c>
      <c r="G98" s="6"/>
    </row>
    <row r="99" spans="1:7" s="4" customFormat="1" ht="15">
      <c r="A99" s="7"/>
      <c r="B99" s="339"/>
      <c r="C99" s="350">
        <f>C98+C97+C96+C95</f>
        <v>6</v>
      </c>
      <c r="D99" s="335">
        <f aca="true" t="shared" si="10" ref="D99:E99">D98+D97+D96+D95</f>
        <v>4.951</v>
      </c>
      <c r="E99" s="335">
        <f t="shared" si="10"/>
        <v>1375.877</v>
      </c>
      <c r="F99" s="3"/>
      <c r="G99" s="13" t="s">
        <v>23</v>
      </c>
    </row>
    <row r="100" spans="1:7" s="4" customFormat="1" ht="15">
      <c r="A100" s="340">
        <v>61</v>
      </c>
      <c r="B100" s="440" t="s">
        <v>266</v>
      </c>
      <c r="C100" s="351">
        <f>1</f>
        <v>1</v>
      </c>
      <c r="D100" s="89">
        <f>2.665</f>
        <v>2.665</v>
      </c>
      <c r="E100" s="89">
        <f>505.379</f>
        <v>505.379</v>
      </c>
      <c r="F100" s="3" t="s">
        <v>14</v>
      </c>
      <c r="G100" s="3"/>
    </row>
    <row r="101" spans="1:7" s="4" customFormat="1" ht="15">
      <c r="A101" s="340">
        <v>62</v>
      </c>
      <c r="B101" s="440" t="s">
        <v>261</v>
      </c>
      <c r="C101" s="360">
        <v>1</v>
      </c>
      <c r="D101" s="89">
        <f>1.771</f>
        <v>1.771</v>
      </c>
      <c r="E101" s="89">
        <f>553.728</f>
        <v>553.728</v>
      </c>
      <c r="F101" s="3" t="s">
        <v>14</v>
      </c>
      <c r="G101" s="3"/>
    </row>
    <row r="102" spans="1:7" s="4" customFormat="1" ht="15">
      <c r="A102" s="340">
        <v>63</v>
      </c>
      <c r="B102" s="440" t="s">
        <v>203</v>
      </c>
      <c r="C102" s="351">
        <v>1</v>
      </c>
      <c r="D102" s="89">
        <v>2.29</v>
      </c>
      <c r="E102" s="89">
        <v>460.997</v>
      </c>
      <c r="F102" s="3" t="s">
        <v>14</v>
      </c>
      <c r="G102" s="3"/>
    </row>
    <row r="103" spans="1:7" s="4" customFormat="1" ht="15">
      <c r="A103" s="340">
        <v>64</v>
      </c>
      <c r="B103" s="440" t="s">
        <v>232</v>
      </c>
      <c r="C103" s="351">
        <v>2</v>
      </c>
      <c r="D103" s="89">
        <v>1.655</v>
      </c>
      <c r="E103" s="89">
        <v>488.04200000000003</v>
      </c>
      <c r="F103" s="3" t="s">
        <v>14</v>
      </c>
      <c r="G103" s="3"/>
    </row>
    <row r="104" spans="1:7" s="4" customFormat="1" ht="15">
      <c r="A104" s="340"/>
      <c r="B104" s="339"/>
      <c r="C104" s="350">
        <f>SUM(C100:C103)</f>
        <v>5</v>
      </c>
      <c r="D104" s="325">
        <f>SUM(D100:D103)</f>
        <v>8.381</v>
      </c>
      <c r="E104" s="364">
        <f>SUM(E100:E103)</f>
        <v>2008.1460000000002</v>
      </c>
      <c r="F104" s="3"/>
      <c r="G104" s="3" t="s">
        <v>23</v>
      </c>
    </row>
    <row r="105" spans="1:7" s="11" customFormat="1" ht="15">
      <c r="A105" s="1"/>
      <c r="B105" s="12"/>
      <c r="C105" s="348">
        <f>C104+C99+C94</f>
        <v>15</v>
      </c>
      <c r="D105" s="231">
        <f aca="true" t="shared" si="11" ref="D105:E105">D104+D99+D94</f>
        <v>14.468</v>
      </c>
      <c r="E105" s="231">
        <f t="shared" si="11"/>
        <v>3698.433</v>
      </c>
      <c r="F105" s="13"/>
      <c r="G105" s="12"/>
    </row>
    <row r="106" spans="1:7" ht="15.75" customHeight="1">
      <c r="A106" s="468" t="s">
        <v>15</v>
      </c>
      <c r="B106" s="469"/>
      <c r="C106" s="469"/>
      <c r="D106" s="469"/>
      <c r="E106" s="469"/>
      <c r="F106" s="469"/>
      <c r="G106" s="470"/>
    </row>
    <row r="107" spans="1:7" s="356" customFormat="1" ht="15">
      <c r="A107" s="1">
        <v>65</v>
      </c>
      <c r="B107" s="439" t="s">
        <v>208</v>
      </c>
      <c r="C107" s="347">
        <f>1+1+1</f>
        <v>3</v>
      </c>
      <c r="D107" s="346">
        <f>0.286+0.286+0.286</f>
        <v>0.8579999999999999</v>
      </c>
      <c r="E107" s="346">
        <f>74.58+74.278+73.715</f>
        <v>222.573</v>
      </c>
      <c r="F107" s="13" t="s">
        <v>15</v>
      </c>
      <c r="G107" s="258"/>
    </row>
    <row r="108" spans="1:7" s="356" customFormat="1" ht="15" customHeight="1">
      <c r="A108" s="1">
        <v>66</v>
      </c>
      <c r="B108" s="439" t="s">
        <v>251</v>
      </c>
      <c r="C108" s="347">
        <v>1</v>
      </c>
      <c r="D108" s="346">
        <v>0.283</v>
      </c>
      <c r="E108" s="346">
        <v>89.529</v>
      </c>
      <c r="F108" s="13" t="s">
        <v>15</v>
      </c>
      <c r="G108" s="258"/>
    </row>
    <row r="109" spans="1:7" s="379" customFormat="1" ht="15" customHeight="1">
      <c r="A109" s="1"/>
      <c r="B109" s="12"/>
      <c r="C109" s="348">
        <f>SUM(C107:C108)</f>
        <v>4</v>
      </c>
      <c r="D109" s="368">
        <f>SUM(D107:D108)</f>
        <v>1.1409999999999998</v>
      </c>
      <c r="E109" s="17">
        <f>SUM(E107:E108)</f>
        <v>312.102</v>
      </c>
      <c r="F109" s="13"/>
      <c r="G109" s="13" t="s">
        <v>21</v>
      </c>
    </row>
    <row r="110" spans="1:7" s="4" customFormat="1" ht="15" customHeight="1">
      <c r="A110" s="374">
        <v>67</v>
      </c>
      <c r="B110" s="475" t="s">
        <v>258</v>
      </c>
      <c r="C110" s="375">
        <v>2</v>
      </c>
      <c r="D110" s="376">
        <v>1.786</v>
      </c>
      <c r="E110" s="376">
        <f>281.079+275.616</f>
        <v>556.6949999999999</v>
      </c>
      <c r="F110" s="377" t="s">
        <v>15</v>
      </c>
      <c r="G110" s="378"/>
    </row>
    <row r="111" spans="1:7" s="4" customFormat="1" ht="15" customHeight="1">
      <c r="A111" s="7">
        <v>68</v>
      </c>
      <c r="B111" s="440" t="s">
        <v>269</v>
      </c>
      <c r="C111" s="365">
        <v>2</v>
      </c>
      <c r="D111" s="9">
        <v>2.507</v>
      </c>
      <c r="E111" s="9">
        <v>599.6220000000001</v>
      </c>
      <c r="F111" s="3" t="s">
        <v>15</v>
      </c>
      <c r="G111" s="6"/>
    </row>
    <row r="112" spans="1:7" s="4" customFormat="1" ht="15" customHeight="1">
      <c r="A112" s="7">
        <v>69</v>
      </c>
      <c r="B112" s="440" t="s">
        <v>125</v>
      </c>
      <c r="C112" s="351">
        <v>2</v>
      </c>
      <c r="D112" s="89">
        <v>0.813</v>
      </c>
      <c r="E112" s="89">
        <v>258.626</v>
      </c>
      <c r="F112" s="3" t="s">
        <v>15</v>
      </c>
      <c r="G112" s="6"/>
    </row>
    <row r="113" spans="1:7" s="4" customFormat="1" ht="15" customHeight="1">
      <c r="A113" s="7"/>
      <c r="B113" s="341"/>
      <c r="C113" s="359">
        <f>SUM(C110:C112)</f>
        <v>6</v>
      </c>
      <c r="D113" s="328">
        <f>SUM(D110:D112)</f>
        <v>5.106</v>
      </c>
      <c r="E113" s="260">
        <f>SUM(E110:E112)</f>
        <v>1414.943</v>
      </c>
      <c r="G113" s="13" t="s">
        <v>23</v>
      </c>
    </row>
    <row r="114" spans="1:7" s="4" customFormat="1" ht="15" customHeight="1">
      <c r="A114" s="7">
        <v>70</v>
      </c>
      <c r="B114" s="440" t="s">
        <v>187</v>
      </c>
      <c r="C114" s="351">
        <f>1+1+1</f>
        <v>3</v>
      </c>
      <c r="D114" s="89">
        <f>0.586+0.425+0.46</f>
        <v>1.4709999999999999</v>
      </c>
      <c r="E114" s="89">
        <f>161.79+134.886+142.588</f>
        <v>439.264</v>
      </c>
      <c r="F114" s="3" t="s">
        <v>15</v>
      </c>
      <c r="G114" s="3"/>
    </row>
    <row r="115" spans="1:7" s="4" customFormat="1" ht="15" customHeight="1">
      <c r="A115" s="7">
        <v>71</v>
      </c>
      <c r="B115" s="440" t="s">
        <v>267</v>
      </c>
      <c r="C115" s="351">
        <f>1</f>
        <v>1</v>
      </c>
      <c r="D115" s="89">
        <f>2.878</f>
        <v>2.878</v>
      </c>
      <c r="E115" s="89">
        <f>502.479</f>
        <v>502.479</v>
      </c>
      <c r="F115" s="3" t="s">
        <v>15</v>
      </c>
      <c r="G115" s="3"/>
    </row>
    <row r="116" spans="1:7" s="4" customFormat="1" ht="15" customHeight="1">
      <c r="A116" s="7">
        <v>72</v>
      </c>
      <c r="B116" s="440" t="s">
        <v>262</v>
      </c>
      <c r="C116" s="351">
        <v>1</v>
      </c>
      <c r="D116" s="89">
        <f>0.716</f>
        <v>0.716</v>
      </c>
      <c r="E116" s="89">
        <f>200.579</f>
        <v>200.579</v>
      </c>
      <c r="F116" s="3" t="s">
        <v>15</v>
      </c>
      <c r="G116" s="3"/>
    </row>
    <row r="117" spans="1:7" s="4" customFormat="1" ht="15">
      <c r="A117" s="7"/>
      <c r="B117" s="339"/>
      <c r="C117" s="350">
        <f>C116+C115+C114</f>
        <v>5</v>
      </c>
      <c r="D117" s="335">
        <f aca="true" t="shared" si="12" ref="D117:E117">D116+D115+D114</f>
        <v>5.065</v>
      </c>
      <c r="E117" s="335">
        <f t="shared" si="12"/>
        <v>1142.3220000000001</v>
      </c>
      <c r="F117" s="3"/>
      <c r="G117" s="3" t="s">
        <v>23</v>
      </c>
    </row>
    <row r="118" spans="1:7" s="11" customFormat="1" ht="15">
      <c r="A118" s="449"/>
      <c r="B118" s="450"/>
      <c r="C118" s="451">
        <f>C117+C113+C109</f>
        <v>15</v>
      </c>
      <c r="D118" s="452">
        <f aca="true" t="shared" si="13" ref="D118:E118">D117+D113+D109</f>
        <v>11.312</v>
      </c>
      <c r="E118" s="452">
        <f t="shared" si="13"/>
        <v>2869.367</v>
      </c>
      <c r="F118" s="453"/>
      <c r="G118" s="453"/>
    </row>
    <row r="119" spans="1:7" ht="15" customHeight="1">
      <c r="A119" s="468" t="s">
        <v>16</v>
      </c>
      <c r="B119" s="469"/>
      <c r="C119" s="469"/>
      <c r="D119" s="469"/>
      <c r="E119" s="469"/>
      <c r="F119" s="469"/>
      <c r="G119" s="470"/>
    </row>
    <row r="120" spans="1:7" s="11" customFormat="1" ht="15">
      <c r="A120" s="1">
        <v>73</v>
      </c>
      <c r="B120" s="439" t="s">
        <v>216</v>
      </c>
      <c r="C120" s="347">
        <f>1+1</f>
        <v>2</v>
      </c>
      <c r="D120" s="346">
        <f>0.332+0.331</f>
        <v>0.663</v>
      </c>
      <c r="E120" s="346">
        <f>102.198+92.103</f>
        <v>194.301</v>
      </c>
      <c r="F120" s="13" t="s">
        <v>16</v>
      </c>
      <c r="G120" s="258"/>
    </row>
    <row r="121" spans="1:7" s="11" customFormat="1" ht="15">
      <c r="A121" s="1">
        <v>74</v>
      </c>
      <c r="B121" s="439" t="s">
        <v>230</v>
      </c>
      <c r="C121" s="347">
        <f>1+1</f>
        <v>2</v>
      </c>
      <c r="D121" s="346">
        <f>0.289+0.289</f>
        <v>0.578</v>
      </c>
      <c r="E121" s="346">
        <f>68.931+73.589</f>
        <v>142.51999999999998</v>
      </c>
      <c r="F121" s="13" t="s">
        <v>16</v>
      </c>
      <c r="G121" s="258"/>
    </row>
    <row r="122" spans="1:7" s="11" customFormat="1" ht="15">
      <c r="A122" s="1"/>
      <c r="B122" s="12"/>
      <c r="C122" s="348">
        <f>SUM(C120:C121)</f>
        <v>4</v>
      </c>
      <c r="D122" s="17">
        <f>SUM(D120:D121)</f>
        <v>1.241</v>
      </c>
      <c r="E122" s="17">
        <f>SUM(E120:E121)</f>
        <v>336.82099999999997</v>
      </c>
      <c r="F122" s="13"/>
      <c r="G122" s="13" t="s">
        <v>21</v>
      </c>
    </row>
    <row r="123" spans="1:7" ht="15">
      <c r="A123" s="1">
        <v>75</v>
      </c>
      <c r="B123" s="440" t="s">
        <v>91</v>
      </c>
      <c r="C123" s="351">
        <v>1</v>
      </c>
      <c r="D123" s="89">
        <v>0.724</v>
      </c>
      <c r="E123" s="89">
        <v>279.573</v>
      </c>
      <c r="F123" s="13" t="s">
        <v>16</v>
      </c>
      <c r="G123" s="12"/>
    </row>
    <row r="124" spans="1:7" ht="15">
      <c r="A124" s="1">
        <v>76</v>
      </c>
      <c r="B124" s="440" t="s">
        <v>260</v>
      </c>
      <c r="C124" s="366">
        <v>2</v>
      </c>
      <c r="D124" s="10">
        <v>2.182</v>
      </c>
      <c r="E124" s="259">
        <f>298.927+362.337</f>
        <v>661.264</v>
      </c>
      <c r="F124" s="13" t="s">
        <v>16</v>
      </c>
      <c r="G124" s="12"/>
    </row>
    <row r="125" spans="1:7" ht="15">
      <c r="A125" s="1">
        <v>77</v>
      </c>
      <c r="B125" s="440" t="s">
        <v>222</v>
      </c>
      <c r="C125" s="351">
        <v>2</v>
      </c>
      <c r="D125" s="89">
        <v>1.198</v>
      </c>
      <c r="E125" s="89">
        <v>376.706</v>
      </c>
      <c r="F125" s="13" t="s">
        <v>16</v>
      </c>
      <c r="G125" s="12"/>
    </row>
    <row r="126" spans="1:7" ht="15">
      <c r="A126" s="1"/>
      <c r="B126" s="12"/>
      <c r="C126" s="348">
        <f>SUM(C123:C125)</f>
        <v>5</v>
      </c>
      <c r="D126" s="325">
        <f>SUM(D123:D125)</f>
        <v>4.103999999999999</v>
      </c>
      <c r="E126" s="17">
        <f>SUM(E123:E125)</f>
        <v>1317.5430000000001</v>
      </c>
      <c r="G126" s="13" t="s">
        <v>23</v>
      </c>
    </row>
    <row r="127" spans="1:7" ht="15">
      <c r="A127" s="1">
        <v>78</v>
      </c>
      <c r="B127" s="440" t="s">
        <v>100</v>
      </c>
      <c r="C127" s="351">
        <v>2</v>
      </c>
      <c r="D127" s="89">
        <v>1.3279999999999998</v>
      </c>
      <c r="E127" s="89">
        <v>363.71500000000003</v>
      </c>
      <c r="F127" s="13" t="s">
        <v>16</v>
      </c>
      <c r="G127" s="13"/>
    </row>
    <row r="128" spans="1:7" ht="15">
      <c r="A128" s="1">
        <v>79</v>
      </c>
      <c r="B128" s="440" t="s">
        <v>268</v>
      </c>
      <c r="C128" s="351">
        <v>1</v>
      </c>
      <c r="D128" s="89">
        <v>1.04</v>
      </c>
      <c r="E128" s="89">
        <f>203.331</f>
        <v>203.331</v>
      </c>
      <c r="F128" s="13" t="s">
        <v>16</v>
      </c>
      <c r="G128" s="13"/>
    </row>
    <row r="129" spans="1:7" ht="15">
      <c r="A129" s="1">
        <v>80</v>
      </c>
      <c r="B129" s="440" t="s">
        <v>263</v>
      </c>
      <c r="C129" s="367">
        <f>1+1</f>
        <v>2</v>
      </c>
      <c r="D129" s="259">
        <f>1.021+0.748</f>
        <v>1.769</v>
      </c>
      <c r="E129" s="259">
        <f>287.401+242.491</f>
        <v>529.892</v>
      </c>
      <c r="F129" s="13" t="s">
        <v>16</v>
      </c>
      <c r="G129" s="13"/>
    </row>
    <row r="130" spans="1:7" ht="15">
      <c r="A130" s="1">
        <v>81</v>
      </c>
      <c r="B130" s="440" t="s">
        <v>207</v>
      </c>
      <c r="C130" s="353">
        <v>1</v>
      </c>
      <c r="D130" s="272">
        <v>0.608</v>
      </c>
      <c r="E130" s="272">
        <v>159.029</v>
      </c>
      <c r="F130" s="13" t="s">
        <v>16</v>
      </c>
      <c r="G130" s="13"/>
    </row>
    <row r="131" spans="1:7" ht="15" customHeight="1">
      <c r="A131" s="1"/>
      <c r="B131" s="15"/>
      <c r="C131" s="348">
        <f>SUM(C127:C130)</f>
        <v>6</v>
      </c>
      <c r="D131" s="325">
        <f>SUM(D127:D130)</f>
        <v>4.744999999999999</v>
      </c>
      <c r="E131" s="324">
        <f>SUM(E127:E130)</f>
        <v>1255.967</v>
      </c>
      <c r="F131" s="13"/>
      <c r="G131" s="461" t="s">
        <v>23</v>
      </c>
    </row>
    <row r="132" spans="1:7" s="11" customFormat="1" ht="15">
      <c r="A132" s="454"/>
      <c r="B132" s="455"/>
      <c r="C132" s="371">
        <f>C131+C126+C122</f>
        <v>15</v>
      </c>
      <c r="D132" s="230">
        <f aca="true" t="shared" si="14" ref="D132:E132">D131+D126+D122</f>
        <v>10.089999999999998</v>
      </c>
      <c r="E132" s="230">
        <f t="shared" si="14"/>
        <v>2910.331</v>
      </c>
      <c r="F132" s="456"/>
      <c r="G132" s="456"/>
    </row>
    <row r="133" spans="1:7" ht="15" customHeight="1">
      <c r="A133" s="468" t="s">
        <v>17</v>
      </c>
      <c r="B133" s="469"/>
      <c r="C133" s="469"/>
      <c r="D133" s="469"/>
      <c r="E133" s="469"/>
      <c r="F133" s="469"/>
      <c r="G133" s="470"/>
    </row>
    <row r="134" spans="1:7" s="11" customFormat="1" ht="15">
      <c r="A134" s="1">
        <v>82</v>
      </c>
      <c r="B134" s="439" t="s">
        <v>220</v>
      </c>
      <c r="C134" s="382">
        <v>1</v>
      </c>
      <c r="D134" s="346">
        <v>0.29</v>
      </c>
      <c r="E134" s="346">
        <v>98.772</v>
      </c>
      <c r="F134" s="13" t="s">
        <v>17</v>
      </c>
      <c r="G134" s="258"/>
    </row>
    <row r="135" spans="1:7" s="11" customFormat="1" ht="15">
      <c r="A135" s="1">
        <v>83</v>
      </c>
      <c r="B135" s="439" t="s">
        <v>228</v>
      </c>
      <c r="C135" s="382">
        <f>1+1+1</f>
        <v>3</v>
      </c>
      <c r="D135" s="346">
        <f>0.302+0.302+0.302</f>
        <v>0.9059999999999999</v>
      </c>
      <c r="E135" s="346">
        <f>86.519+87.498+75.674</f>
        <v>249.691</v>
      </c>
      <c r="F135" s="13" t="s">
        <v>17</v>
      </c>
      <c r="G135" s="258"/>
    </row>
    <row r="136" spans="1:7" s="11" customFormat="1" ht="15">
      <c r="A136" s="1"/>
      <c r="B136" s="12"/>
      <c r="C136" s="383">
        <f>SUM(C134:C135)</f>
        <v>4</v>
      </c>
      <c r="D136" s="368">
        <f>SUM(D134:D135)</f>
        <v>1.196</v>
      </c>
      <c r="E136" s="17">
        <f>SUM(E134:E135)</f>
        <v>348.463</v>
      </c>
      <c r="F136" s="13"/>
      <c r="G136" s="13" t="s">
        <v>21</v>
      </c>
    </row>
    <row r="137" spans="1:7" s="4" customFormat="1" ht="15">
      <c r="A137" s="7">
        <v>84</v>
      </c>
      <c r="B137" s="440" t="s">
        <v>139</v>
      </c>
      <c r="C137" s="384">
        <f>1+1</f>
        <v>2</v>
      </c>
      <c r="D137" s="89">
        <f>0.643+0.579</f>
        <v>1.222</v>
      </c>
      <c r="E137" s="89">
        <f>246.56+165.081</f>
        <v>411.64099999999996</v>
      </c>
      <c r="F137" s="3" t="s">
        <v>17</v>
      </c>
      <c r="G137" s="6"/>
    </row>
    <row r="138" spans="1:7" s="4" customFormat="1" ht="15">
      <c r="A138" s="7">
        <v>85</v>
      </c>
      <c r="B138" s="440" t="s">
        <v>271</v>
      </c>
      <c r="C138" s="384">
        <v>2</v>
      </c>
      <c r="D138" s="380">
        <f>1.7+0.546</f>
        <v>2.246</v>
      </c>
      <c r="E138" s="381">
        <f>158.436+316.824</f>
        <v>475.26</v>
      </c>
      <c r="F138" s="3" t="s">
        <v>17</v>
      </c>
      <c r="G138" s="6"/>
    </row>
    <row r="139" spans="1:7" s="4" customFormat="1" ht="15">
      <c r="A139" s="7">
        <v>86</v>
      </c>
      <c r="B139" s="440" t="s">
        <v>201</v>
      </c>
      <c r="C139" s="384">
        <v>1</v>
      </c>
      <c r="D139" s="89">
        <v>2.718</v>
      </c>
      <c r="E139" s="361">
        <v>781.095</v>
      </c>
      <c r="F139" s="3" t="s">
        <v>17</v>
      </c>
      <c r="G139" s="6"/>
    </row>
    <row r="140" spans="1:7" s="4" customFormat="1" ht="15">
      <c r="A140" s="7"/>
      <c r="B140" s="339"/>
      <c r="C140" s="385">
        <f>SUM(C137:C139)</f>
        <v>5</v>
      </c>
      <c r="D140" s="342">
        <f>SUM(D137:D139)</f>
        <v>6.186</v>
      </c>
      <c r="E140" s="343">
        <f>SUM(E137:E139)</f>
        <v>1667.996</v>
      </c>
      <c r="G140" s="13" t="s">
        <v>23</v>
      </c>
    </row>
    <row r="141" spans="1:7" s="4" customFormat="1" ht="15">
      <c r="A141" s="7">
        <v>87</v>
      </c>
      <c r="B141" s="440" t="s">
        <v>111</v>
      </c>
      <c r="C141" s="384">
        <v>2</v>
      </c>
      <c r="D141" s="89">
        <v>0.774</v>
      </c>
      <c r="E141" s="89">
        <v>263.481</v>
      </c>
      <c r="F141" s="3" t="s">
        <v>17</v>
      </c>
      <c r="G141" s="3"/>
    </row>
    <row r="142" spans="1:7" s="4" customFormat="1" ht="15">
      <c r="A142" s="7">
        <v>88</v>
      </c>
      <c r="B142" s="440" t="s">
        <v>117</v>
      </c>
      <c r="C142" s="384">
        <v>2</v>
      </c>
      <c r="D142" s="89">
        <f>0.362+0.362</f>
        <v>0.724</v>
      </c>
      <c r="E142" s="89">
        <f>124.416+124.325</f>
        <v>248.74099999999999</v>
      </c>
      <c r="F142" s="3" t="s">
        <v>17</v>
      </c>
      <c r="G142" s="3"/>
    </row>
    <row r="143" spans="1:7" s="4" customFormat="1" ht="16.5" customHeight="1">
      <c r="A143" s="7">
        <v>89</v>
      </c>
      <c r="B143" s="440" t="s">
        <v>253</v>
      </c>
      <c r="C143" s="384">
        <f>1</f>
        <v>1</v>
      </c>
      <c r="D143" s="89">
        <f>0.465</f>
        <v>0.465</v>
      </c>
      <c r="E143" s="89">
        <v>165.322</v>
      </c>
      <c r="F143" s="3" t="s">
        <v>17</v>
      </c>
      <c r="G143" s="3"/>
    </row>
    <row r="144" spans="1:7" s="4" customFormat="1" ht="16.5" customHeight="1">
      <c r="A144" s="7"/>
      <c r="B144" s="88"/>
      <c r="C144" s="386">
        <f>SUM(C141:C143)</f>
        <v>5</v>
      </c>
      <c r="D144" s="327">
        <f>SUM(D141:D143)</f>
        <v>1.963</v>
      </c>
      <c r="E144" s="327">
        <f>SUM(E141:E143)</f>
        <v>677.544</v>
      </c>
      <c r="F144" s="3"/>
      <c r="G144" s="3" t="s">
        <v>23</v>
      </c>
    </row>
    <row r="145" spans="1:7" s="11" customFormat="1" ht="15">
      <c r="A145" s="1"/>
      <c r="B145" s="12"/>
      <c r="C145" s="383">
        <f>C144+C140+C136</f>
        <v>14</v>
      </c>
      <c r="D145" s="231">
        <f>D144+D140+D136</f>
        <v>9.345</v>
      </c>
      <c r="E145" s="231">
        <f>E144+E140+E136</f>
        <v>2694.003</v>
      </c>
      <c r="F145" s="13"/>
      <c r="G145" s="12"/>
    </row>
    <row r="146" spans="1:7" ht="15" customHeight="1">
      <c r="A146" s="468" t="s">
        <v>18</v>
      </c>
      <c r="B146" s="469"/>
      <c r="C146" s="469"/>
      <c r="D146" s="469"/>
      <c r="E146" s="469"/>
      <c r="F146" s="469"/>
      <c r="G146" s="470"/>
    </row>
    <row r="147" spans="1:7" s="11" customFormat="1" ht="15">
      <c r="A147" s="1">
        <v>90</v>
      </c>
      <c r="B147" s="439" t="s">
        <v>205</v>
      </c>
      <c r="C147" s="347">
        <f>1+1</f>
        <v>2</v>
      </c>
      <c r="D147" s="346">
        <f>0.304+0.304</f>
        <v>0.608</v>
      </c>
      <c r="E147" s="346">
        <f>78.443+80.586</f>
        <v>159.029</v>
      </c>
      <c r="F147" s="13" t="s">
        <v>18</v>
      </c>
      <c r="G147" s="258"/>
    </row>
    <row r="148" spans="1:7" s="11" customFormat="1" ht="15">
      <c r="A148" s="1">
        <v>91</v>
      </c>
      <c r="B148" s="439" t="s">
        <v>247</v>
      </c>
      <c r="C148" s="347">
        <f>1+1</f>
        <v>2</v>
      </c>
      <c r="D148" s="346">
        <f>0.287+0.287</f>
        <v>0.574</v>
      </c>
      <c r="E148" s="346">
        <f>79.755+75.248</f>
        <v>155.003</v>
      </c>
      <c r="F148" s="13" t="s">
        <v>18</v>
      </c>
      <c r="G148" s="258"/>
    </row>
    <row r="149" spans="1:7" s="11" customFormat="1" ht="15">
      <c r="A149" s="1"/>
      <c r="B149" s="12"/>
      <c r="C149" s="348">
        <f>SUM(C147:C148)</f>
        <v>4</v>
      </c>
      <c r="D149" s="17">
        <f>SUM(D147:D148)</f>
        <v>1.182</v>
      </c>
      <c r="E149" s="17">
        <f>SUM(E147:E148)</f>
        <v>314.032</v>
      </c>
      <c r="F149" s="13"/>
      <c r="G149" s="13" t="s">
        <v>21</v>
      </c>
    </row>
    <row r="150" spans="1:7" ht="15">
      <c r="A150" s="1">
        <v>92</v>
      </c>
      <c r="B150" s="440" t="s">
        <v>81</v>
      </c>
      <c r="C150" s="351">
        <v>1</v>
      </c>
      <c r="D150" s="89">
        <v>0.466</v>
      </c>
      <c r="E150" s="89">
        <v>180.626</v>
      </c>
      <c r="F150" s="13" t="s">
        <v>18</v>
      </c>
      <c r="G150" s="12"/>
    </row>
    <row r="151" spans="1:7" ht="15">
      <c r="A151" s="1">
        <v>93</v>
      </c>
      <c r="B151" s="440" t="s">
        <v>259</v>
      </c>
      <c r="C151" s="366">
        <v>2</v>
      </c>
      <c r="D151" s="10">
        <v>2.182</v>
      </c>
      <c r="E151" s="259">
        <f>313.01+301.47</f>
        <v>614.48</v>
      </c>
      <c r="F151" s="13" t="s">
        <v>18</v>
      </c>
      <c r="G151" s="12"/>
    </row>
    <row r="152" spans="1:7" ht="15">
      <c r="A152" s="1">
        <v>94</v>
      </c>
      <c r="B152" s="440" t="s">
        <v>257</v>
      </c>
      <c r="C152" s="351">
        <v>1</v>
      </c>
      <c r="D152" s="89">
        <v>0.893</v>
      </c>
      <c r="E152" s="89">
        <v>296.298</v>
      </c>
      <c r="F152" s="13" t="s">
        <v>18</v>
      </c>
      <c r="G152" s="6"/>
    </row>
    <row r="153" spans="1:7" ht="15">
      <c r="A153" s="1">
        <v>95</v>
      </c>
      <c r="B153" s="440" t="s">
        <v>131</v>
      </c>
      <c r="C153" s="351">
        <v>1</v>
      </c>
      <c r="D153" s="89">
        <v>0.787</v>
      </c>
      <c r="E153" s="89">
        <v>225.063</v>
      </c>
      <c r="F153" s="13" t="s">
        <v>18</v>
      </c>
      <c r="G153" s="12"/>
    </row>
    <row r="154" spans="1:7" ht="15">
      <c r="A154" s="1"/>
      <c r="B154" s="12"/>
      <c r="C154" s="348">
        <f>SUM(C150:C153)</f>
        <v>5</v>
      </c>
      <c r="D154" s="325">
        <f>SUM(D150:D153)</f>
        <v>4.328</v>
      </c>
      <c r="E154" s="17">
        <f>SUM(E150:E153)</f>
        <v>1316.467</v>
      </c>
      <c r="G154" s="13" t="s">
        <v>23</v>
      </c>
    </row>
    <row r="155" spans="1:9" ht="15">
      <c r="A155" s="1">
        <v>96</v>
      </c>
      <c r="B155" s="440" t="s">
        <v>107</v>
      </c>
      <c r="C155" s="351">
        <v>2</v>
      </c>
      <c r="D155" s="89">
        <v>1.119</v>
      </c>
      <c r="E155" s="89">
        <v>322.31600000000003</v>
      </c>
      <c r="F155" s="13" t="s">
        <v>18</v>
      </c>
      <c r="G155" s="13"/>
      <c r="H155" s="315"/>
      <c r="I155" s="316"/>
    </row>
    <row r="156" spans="1:9" ht="15">
      <c r="A156" s="1">
        <v>97</v>
      </c>
      <c r="B156" s="440" t="s">
        <v>210</v>
      </c>
      <c r="C156" s="353">
        <v>1</v>
      </c>
      <c r="D156" s="272">
        <v>0.561</v>
      </c>
      <c r="E156" s="272">
        <v>188.43</v>
      </c>
      <c r="F156" s="13" t="s">
        <v>18</v>
      </c>
      <c r="G156" s="13"/>
      <c r="H156" s="315"/>
      <c r="I156" s="316"/>
    </row>
    <row r="157" spans="1:9" ht="15">
      <c r="A157" s="1">
        <v>98</v>
      </c>
      <c r="B157" s="440" t="s">
        <v>218</v>
      </c>
      <c r="C157" s="351">
        <v>1</v>
      </c>
      <c r="D157" s="89">
        <v>0.745</v>
      </c>
      <c r="E157" s="89">
        <v>185.247</v>
      </c>
      <c r="F157" s="13" t="s">
        <v>18</v>
      </c>
      <c r="G157" s="13"/>
      <c r="H157" s="315"/>
      <c r="I157" s="316"/>
    </row>
    <row r="158" spans="1:9" ht="15">
      <c r="A158" s="1">
        <v>99</v>
      </c>
      <c r="B158" s="440" t="s">
        <v>237</v>
      </c>
      <c r="C158" s="351">
        <v>1</v>
      </c>
      <c r="D158" s="89">
        <v>0.516</v>
      </c>
      <c r="E158" s="89">
        <v>162.677</v>
      </c>
      <c r="F158" s="13" t="s">
        <v>18</v>
      </c>
      <c r="G158" s="13"/>
      <c r="H158" s="315"/>
      <c r="I158" s="316"/>
    </row>
    <row r="159" spans="1:7" ht="15">
      <c r="A159" s="1"/>
      <c r="B159" s="15"/>
      <c r="C159" s="348">
        <f>C158+C157+C156+C155</f>
        <v>5</v>
      </c>
      <c r="D159" s="231">
        <f aca="true" t="shared" si="15" ref="D159:E159">D158+D157+D156+D155</f>
        <v>2.941</v>
      </c>
      <c r="E159" s="231">
        <f t="shared" si="15"/>
        <v>858.6700000000001</v>
      </c>
      <c r="G159" s="13" t="s">
        <v>23</v>
      </c>
    </row>
    <row r="160" spans="1:7" s="11" customFormat="1" ht="15">
      <c r="A160" s="1"/>
      <c r="B160" s="12"/>
      <c r="C160" s="348">
        <f>C159+C154+C149</f>
        <v>14</v>
      </c>
      <c r="D160" s="20">
        <f>D159+D154+D149</f>
        <v>8.451</v>
      </c>
      <c r="E160" s="20">
        <f>E159+E154+E149</f>
        <v>2489.1690000000003</v>
      </c>
      <c r="F160" s="13"/>
      <c r="G160" s="12"/>
    </row>
    <row r="161" spans="1:7" ht="14.25" customHeight="1">
      <c r="A161" s="468" t="s">
        <v>19</v>
      </c>
      <c r="B161" s="469"/>
      <c r="C161" s="469"/>
      <c r="D161" s="469"/>
      <c r="E161" s="469"/>
      <c r="F161" s="469"/>
      <c r="G161" s="470"/>
    </row>
    <row r="162" spans="1:7" s="11" customFormat="1" ht="15">
      <c r="A162" s="1">
        <v>100</v>
      </c>
      <c r="B162" s="439" t="s">
        <v>243</v>
      </c>
      <c r="C162" s="347">
        <f>1+1</f>
        <v>2</v>
      </c>
      <c r="D162" s="346">
        <f>0.317+0.304</f>
        <v>0.621</v>
      </c>
      <c r="E162" s="346">
        <f>77.363+88.405</f>
        <v>165.768</v>
      </c>
      <c r="F162" s="13" t="s">
        <v>19</v>
      </c>
      <c r="G162" s="258"/>
    </row>
    <row r="163" spans="1:7" s="11" customFormat="1" ht="15" customHeight="1">
      <c r="A163" s="1">
        <v>101</v>
      </c>
      <c r="B163" s="439" t="s">
        <v>245</v>
      </c>
      <c r="C163" s="347">
        <v>2</v>
      </c>
      <c r="D163" s="346">
        <f>0.284+0.284</f>
        <v>0.568</v>
      </c>
      <c r="E163" s="346">
        <f>81.373+67.45</f>
        <v>148.823</v>
      </c>
      <c r="F163" s="13" t="s">
        <v>19</v>
      </c>
      <c r="G163" s="258"/>
    </row>
    <row r="164" spans="1:7" s="11" customFormat="1" ht="15" customHeight="1">
      <c r="A164" s="1"/>
      <c r="B164" s="12"/>
      <c r="C164" s="348">
        <v>4</v>
      </c>
      <c r="D164" s="387">
        <f>SUM(D162:D163)</f>
        <v>1.189</v>
      </c>
      <c r="E164" s="17">
        <f>SUM(E162:E163)</f>
        <v>314.591</v>
      </c>
      <c r="F164" s="13"/>
      <c r="G164" s="13" t="s">
        <v>21</v>
      </c>
    </row>
    <row r="165" spans="1:7" ht="15">
      <c r="A165" s="1">
        <v>102</v>
      </c>
      <c r="B165" s="440" t="s">
        <v>87</v>
      </c>
      <c r="C165" s="351">
        <v>1</v>
      </c>
      <c r="D165" s="89">
        <v>0.375</v>
      </c>
      <c r="E165" s="89">
        <v>157.552</v>
      </c>
      <c r="F165" s="13" t="s">
        <v>19</v>
      </c>
      <c r="G165" s="12"/>
    </row>
    <row r="166" spans="1:7" ht="15">
      <c r="A166" s="1">
        <v>103</v>
      </c>
      <c r="B166" s="440" t="s">
        <v>214</v>
      </c>
      <c r="C166" s="351">
        <v>1</v>
      </c>
      <c r="D166" s="89">
        <v>0.535</v>
      </c>
      <c r="E166" s="89">
        <v>179.702</v>
      </c>
      <c r="F166" s="13" t="s">
        <v>19</v>
      </c>
      <c r="G166" s="12"/>
    </row>
    <row r="167" spans="1:7" ht="15">
      <c r="A167" s="1">
        <v>104</v>
      </c>
      <c r="B167" s="440" t="s">
        <v>239</v>
      </c>
      <c r="C167" s="351">
        <f>1</f>
        <v>1</v>
      </c>
      <c r="D167" s="89">
        <f>1.523</f>
        <v>1.523</v>
      </c>
      <c r="E167" s="89">
        <f>388.811</f>
        <v>388.811</v>
      </c>
      <c r="F167" s="13" t="s">
        <v>19</v>
      </c>
      <c r="G167" s="12"/>
    </row>
    <row r="168" spans="1:7" ht="15">
      <c r="A168" s="1">
        <v>105</v>
      </c>
      <c r="B168" s="440" t="s">
        <v>119</v>
      </c>
      <c r="C168" s="351">
        <f>1+1</f>
        <v>2</v>
      </c>
      <c r="D168" s="89">
        <f>0.595+0.595</f>
        <v>1.19</v>
      </c>
      <c r="E168" s="89">
        <f>170.254+156.399</f>
        <v>326.653</v>
      </c>
      <c r="F168" s="13" t="s">
        <v>19</v>
      </c>
      <c r="G168" s="12"/>
    </row>
    <row r="169" spans="1:7" ht="15">
      <c r="A169" s="1"/>
      <c r="B169" s="476"/>
      <c r="C169" s="348">
        <f>C168+C167+C166+C165</f>
        <v>5</v>
      </c>
      <c r="D169" s="231">
        <f aca="true" t="shared" si="16" ref="D169:E169">D168+D167+D166+D165</f>
        <v>3.623</v>
      </c>
      <c r="E169" s="231">
        <f t="shared" si="16"/>
        <v>1052.7179999999998</v>
      </c>
      <c r="F169" s="13"/>
      <c r="G169" s="13" t="s">
        <v>23</v>
      </c>
    </row>
    <row r="170" spans="1:7" ht="15">
      <c r="A170" s="1">
        <v>106</v>
      </c>
      <c r="B170" s="440" t="s">
        <v>93</v>
      </c>
      <c r="C170" s="351">
        <v>1</v>
      </c>
      <c r="D170" s="89">
        <v>0.46</v>
      </c>
      <c r="E170" s="89">
        <v>136.815</v>
      </c>
      <c r="F170" s="13" t="s">
        <v>19</v>
      </c>
      <c r="G170" s="13"/>
    </row>
    <row r="171" spans="1:9" ht="15">
      <c r="A171" s="1">
        <v>107</v>
      </c>
      <c r="B171" s="440" t="s">
        <v>264</v>
      </c>
      <c r="C171" s="367">
        <f>1</f>
        <v>1</v>
      </c>
      <c r="D171" s="259">
        <f>1.254</f>
        <v>1.254</v>
      </c>
      <c r="E171" s="259">
        <f>280.92</f>
        <v>280.92</v>
      </c>
      <c r="F171" s="13" t="s">
        <v>19</v>
      </c>
      <c r="G171" s="13"/>
      <c r="I171" s="194"/>
    </row>
    <row r="172" spans="1:9" ht="15">
      <c r="A172" s="1">
        <v>108</v>
      </c>
      <c r="B172" s="440" t="s">
        <v>265</v>
      </c>
      <c r="C172" s="351">
        <f>1</f>
        <v>1</v>
      </c>
      <c r="D172" s="89">
        <f>1</f>
        <v>1</v>
      </c>
      <c r="E172" s="89">
        <f>191.873</f>
        <v>191.873</v>
      </c>
      <c r="F172" s="13" t="s">
        <v>19</v>
      </c>
      <c r="G172" s="13"/>
      <c r="I172" s="195"/>
    </row>
    <row r="173" spans="1:12" ht="15">
      <c r="A173" s="1">
        <v>109</v>
      </c>
      <c r="B173" s="440" t="s">
        <v>103</v>
      </c>
      <c r="C173" s="351">
        <v>1</v>
      </c>
      <c r="D173" s="89">
        <v>0.737</v>
      </c>
      <c r="E173" s="89">
        <v>210.178</v>
      </c>
      <c r="F173" s="13" t="s">
        <v>19</v>
      </c>
      <c r="G173" s="13"/>
      <c r="I173" s="195"/>
      <c r="J173" s="194"/>
      <c r="L173" s="194"/>
    </row>
    <row r="174" spans="1:12" ht="15">
      <c r="A174" s="1"/>
      <c r="B174" s="88"/>
      <c r="C174" s="358">
        <f>SUM(C170:C173)</f>
        <v>4</v>
      </c>
      <c r="D174" s="325">
        <f>SUM(D170:D173)</f>
        <v>3.451</v>
      </c>
      <c r="E174" s="327">
        <f>SUM(E170:E173)</f>
        <v>819.786</v>
      </c>
      <c r="F174" s="13"/>
      <c r="G174" s="13" t="s">
        <v>23</v>
      </c>
      <c r="I174" s="195"/>
      <c r="J174" s="326"/>
      <c r="L174" s="194"/>
    </row>
    <row r="175" spans="1:7" s="11" customFormat="1" ht="15" customHeight="1">
      <c r="A175" s="1"/>
      <c r="B175" s="12"/>
      <c r="C175" s="348">
        <f>C174+C169+C164</f>
        <v>13</v>
      </c>
      <c r="D175" s="20">
        <f>D174+D169+D164</f>
        <v>8.263</v>
      </c>
      <c r="E175" s="20">
        <f>E174+E169+E164</f>
        <v>2187.095</v>
      </c>
      <c r="F175" s="13"/>
      <c r="G175" s="12"/>
    </row>
    <row r="176" spans="1:10" s="11" customFormat="1" ht="15.75" customHeight="1">
      <c r="A176" s="1"/>
      <c r="B176" s="457" t="s">
        <v>275</v>
      </c>
      <c r="C176" s="458">
        <f>C18+C33+C47+C62+C76+C90+C105+C118+C132+C145+C160+C175</f>
        <v>170</v>
      </c>
      <c r="D176" s="20">
        <f>D175+D160+D145+D132+D118+D105+D90+D76+D62+D47+D33+D18</f>
        <v>91.96999999999998</v>
      </c>
      <c r="E176" s="20">
        <f>E18+E33+E47+E62+E76+E90+E105+E118+E132+E145+E160+E175</f>
        <v>26333.786000000004</v>
      </c>
      <c r="F176" s="13"/>
      <c r="G176" s="12"/>
      <c r="J176" s="459"/>
    </row>
    <row r="177" spans="1:11" ht="18" customHeight="1">
      <c r="A177" s="434"/>
      <c r="B177" s="434"/>
      <c r="C177" s="434"/>
      <c r="D177" s="434"/>
      <c r="E177" s="434"/>
      <c r="F177" s="434"/>
      <c r="G177" s="434"/>
      <c r="K177" s="22"/>
    </row>
    <row r="178" spans="1:11" ht="13.5" customHeight="1">
      <c r="A178" s="434"/>
      <c r="B178" s="434"/>
      <c r="C178" s="434"/>
      <c r="D178" s="434"/>
      <c r="E178" s="434"/>
      <c r="F178" s="434"/>
      <c r="G178" s="434"/>
      <c r="K178" s="23"/>
    </row>
    <row r="179" spans="1:7" ht="15.75" customHeight="1">
      <c r="A179" s="434"/>
      <c r="B179" s="434"/>
      <c r="C179" s="434"/>
      <c r="D179" s="434"/>
      <c r="E179" s="434"/>
      <c r="F179" s="434"/>
      <c r="G179" s="434"/>
    </row>
    <row r="180" spans="1:7" ht="28.5" customHeight="1">
      <c r="A180" s="433"/>
      <c r="B180" s="433"/>
      <c r="C180" s="433"/>
      <c r="D180" s="433"/>
      <c r="E180" s="433"/>
      <c r="F180" s="433"/>
      <c r="G180" s="433"/>
    </row>
    <row r="181" spans="1:7" ht="28.5" customHeight="1">
      <c r="A181" s="433"/>
      <c r="B181" s="433"/>
      <c r="C181" s="433"/>
      <c r="D181" s="433"/>
      <c r="E181" s="433"/>
      <c r="F181" s="433"/>
      <c r="G181" s="433"/>
    </row>
    <row r="182" spans="1:7" ht="14.25" customHeight="1">
      <c r="A182" s="433"/>
      <c r="B182" s="433"/>
      <c r="C182" s="433"/>
      <c r="D182" s="433"/>
      <c r="E182" s="433"/>
      <c r="F182" s="433"/>
      <c r="G182" s="388"/>
    </row>
    <row r="183" spans="1:7" ht="20.25" customHeight="1">
      <c r="A183" s="433"/>
      <c r="B183" s="433"/>
      <c r="C183" s="389"/>
      <c r="D183" s="389"/>
      <c r="E183" s="389"/>
      <c r="F183" s="388"/>
      <c r="G183" s="388"/>
    </row>
    <row r="184" spans="1:7" ht="28.5" customHeight="1">
      <c r="A184" s="390"/>
      <c r="B184" s="391"/>
      <c r="C184" s="392"/>
      <c r="D184" s="392"/>
      <c r="E184" s="392"/>
      <c r="F184" s="391"/>
      <c r="G184" s="391"/>
    </row>
    <row r="185" spans="2:15" s="8" customFormat="1" ht="28.5" customHeight="1">
      <c r="B185"/>
      <c r="C185" s="4"/>
      <c r="D185" s="4"/>
      <c r="E185" s="4"/>
      <c r="F185"/>
      <c r="G185"/>
      <c r="H185"/>
      <c r="I185"/>
      <c r="J185"/>
      <c r="K185"/>
      <c r="L185"/>
      <c r="M185"/>
      <c r="N185"/>
      <c r="O185"/>
    </row>
    <row r="186" spans="2:15" s="8" customFormat="1" ht="28.5" customHeight="1">
      <c r="B186"/>
      <c r="C186" s="4"/>
      <c r="D186" s="4"/>
      <c r="E186" s="4"/>
      <c r="F186"/>
      <c r="G186"/>
      <c r="H186"/>
      <c r="I186"/>
      <c r="J186"/>
      <c r="K186"/>
      <c r="L186"/>
      <c r="M186"/>
      <c r="N186"/>
      <c r="O186"/>
    </row>
    <row r="187" spans="2:15" s="8" customFormat="1" ht="28.5" customHeight="1">
      <c r="B187"/>
      <c r="C187" s="4"/>
      <c r="D187" s="4"/>
      <c r="E187" s="4"/>
      <c r="F187"/>
      <c r="G187"/>
      <c r="H187"/>
      <c r="I187"/>
      <c r="J187"/>
      <c r="K187"/>
      <c r="L187"/>
      <c r="M187"/>
      <c r="N187"/>
      <c r="O187"/>
    </row>
    <row r="188" spans="2:15" s="8" customFormat="1" ht="28.5" customHeight="1">
      <c r="B188"/>
      <c r="C188" s="4"/>
      <c r="D188" s="4"/>
      <c r="E188" s="4"/>
      <c r="F188"/>
      <c r="G188"/>
      <c r="H188"/>
      <c r="I188"/>
      <c r="J188"/>
      <c r="K188"/>
      <c r="L188"/>
      <c r="M188"/>
      <c r="N188"/>
      <c r="O188"/>
    </row>
    <row r="189" spans="2:15" s="8" customFormat="1" ht="28.5" customHeight="1">
      <c r="B189"/>
      <c r="C189" s="4"/>
      <c r="D189" s="4"/>
      <c r="E189" s="4"/>
      <c r="F189"/>
      <c r="G189"/>
      <c r="H189"/>
      <c r="I189"/>
      <c r="J189"/>
      <c r="K189"/>
      <c r="L189"/>
      <c r="M189"/>
      <c r="N189"/>
      <c r="O189"/>
    </row>
    <row r="190" spans="2:15" s="8" customFormat="1" ht="28.5" customHeight="1">
      <c r="B190"/>
      <c r="C190" s="4"/>
      <c r="D190" s="4"/>
      <c r="E190" s="4"/>
      <c r="F190"/>
      <c r="G190"/>
      <c r="H190"/>
      <c r="I190"/>
      <c r="J190"/>
      <c r="K190"/>
      <c r="L190"/>
      <c r="M190"/>
      <c r="N190"/>
      <c r="O190"/>
    </row>
    <row r="191" spans="2:15" s="8" customFormat="1" ht="28.5" customHeight="1">
      <c r="B191"/>
      <c r="C191" s="4"/>
      <c r="D191" s="4"/>
      <c r="E191" s="4"/>
      <c r="F191"/>
      <c r="G191"/>
      <c r="H191"/>
      <c r="I191"/>
      <c r="J191"/>
      <c r="K191"/>
      <c r="L191"/>
      <c r="M191"/>
      <c r="N191"/>
      <c r="O191"/>
    </row>
    <row r="192" spans="2:15" s="8" customFormat="1" ht="28.5" customHeight="1">
      <c r="B192"/>
      <c r="C192" s="4"/>
      <c r="D192" s="4"/>
      <c r="E192" s="4"/>
      <c r="F192"/>
      <c r="G192"/>
      <c r="H192"/>
      <c r="I192"/>
      <c r="J192"/>
      <c r="K192"/>
      <c r="L192"/>
      <c r="M192"/>
      <c r="N192"/>
      <c r="O192"/>
    </row>
    <row r="193" spans="2:15" s="8" customFormat="1" ht="28.5" customHeight="1">
      <c r="B193"/>
      <c r="C193" s="4"/>
      <c r="D193" s="4"/>
      <c r="E193" s="4"/>
      <c r="F193"/>
      <c r="G193"/>
      <c r="H193"/>
      <c r="I193"/>
      <c r="J193"/>
      <c r="K193"/>
      <c r="L193"/>
      <c r="M193"/>
      <c r="N193"/>
      <c r="O193"/>
    </row>
    <row r="194" spans="2:15" s="8" customFormat="1" ht="28.5" customHeight="1">
      <c r="B194"/>
      <c r="C194" s="4"/>
      <c r="D194" s="4"/>
      <c r="E194" s="4"/>
      <c r="F194"/>
      <c r="G194"/>
      <c r="H194"/>
      <c r="I194"/>
      <c r="J194"/>
      <c r="K194"/>
      <c r="L194"/>
      <c r="M194"/>
      <c r="N194"/>
      <c r="O194"/>
    </row>
    <row r="195" spans="2:15" s="8" customFormat="1" ht="28.5" customHeight="1">
      <c r="B195"/>
      <c r="C195" s="4"/>
      <c r="D195" s="4"/>
      <c r="E195" s="4"/>
      <c r="F195"/>
      <c r="G195"/>
      <c r="H195"/>
      <c r="I195"/>
      <c r="J195"/>
      <c r="K195"/>
      <c r="L195"/>
      <c r="M195"/>
      <c r="N195"/>
      <c r="O195"/>
    </row>
    <row r="196" spans="2:15" s="8" customFormat="1" ht="28.5" customHeight="1">
      <c r="B196"/>
      <c r="C196" s="4"/>
      <c r="D196" s="4"/>
      <c r="E196" s="4"/>
      <c r="F196"/>
      <c r="G196"/>
      <c r="H196"/>
      <c r="I196"/>
      <c r="J196"/>
      <c r="K196"/>
      <c r="L196"/>
      <c r="M196"/>
      <c r="N196"/>
      <c r="O196"/>
    </row>
    <row r="197" spans="2:15" s="8" customFormat="1" ht="28.5" customHeight="1">
      <c r="B197"/>
      <c r="C197" s="4"/>
      <c r="D197" s="4"/>
      <c r="E197" s="4"/>
      <c r="F197"/>
      <c r="G197"/>
      <c r="H197"/>
      <c r="I197"/>
      <c r="J197"/>
      <c r="K197"/>
      <c r="L197"/>
      <c r="M197"/>
      <c r="N197"/>
      <c r="O197"/>
    </row>
    <row r="198" spans="2:15" s="8" customFormat="1" ht="28.5" customHeight="1">
      <c r="B198"/>
      <c r="C198" s="4"/>
      <c r="D198" s="4"/>
      <c r="E198" s="4"/>
      <c r="F198"/>
      <c r="G198"/>
      <c r="H198"/>
      <c r="I198"/>
      <c r="J198"/>
      <c r="K198"/>
      <c r="L198"/>
      <c r="M198"/>
      <c r="N198"/>
      <c r="O198"/>
    </row>
    <row r="199" spans="2:15" s="8" customFormat="1" ht="28.5" customHeight="1">
      <c r="B199"/>
      <c r="C199" s="4"/>
      <c r="D199" s="4"/>
      <c r="E199" s="4"/>
      <c r="F199"/>
      <c r="G199"/>
      <c r="H199"/>
      <c r="I199"/>
      <c r="J199"/>
      <c r="K199"/>
      <c r="L199"/>
      <c r="M199"/>
      <c r="N199"/>
      <c r="O199"/>
    </row>
    <row r="200" spans="2:15" s="8" customFormat="1" ht="28.5" customHeight="1">
      <c r="B200"/>
      <c r="C200" s="4"/>
      <c r="D200" s="4"/>
      <c r="E200" s="4"/>
      <c r="F200"/>
      <c r="G200"/>
      <c r="H200"/>
      <c r="I200"/>
      <c r="J200"/>
      <c r="K200"/>
      <c r="L200"/>
      <c r="M200"/>
      <c r="N200"/>
      <c r="O200"/>
    </row>
    <row r="201" spans="2:15" s="8" customFormat="1" ht="28.5" customHeight="1">
      <c r="B201"/>
      <c r="C201" s="4"/>
      <c r="D201" s="4"/>
      <c r="E201" s="4"/>
      <c r="F201"/>
      <c r="G201"/>
      <c r="H201"/>
      <c r="I201"/>
      <c r="J201"/>
      <c r="K201"/>
      <c r="L201"/>
      <c r="M201"/>
      <c r="N201"/>
      <c r="O201"/>
    </row>
    <row r="202" spans="2:15" s="8" customFormat="1" ht="28.5" customHeight="1">
      <c r="B202"/>
      <c r="C202" s="4"/>
      <c r="D202" s="4"/>
      <c r="E202" s="4"/>
      <c r="F202"/>
      <c r="G202"/>
      <c r="H202"/>
      <c r="I202"/>
      <c r="J202"/>
      <c r="K202"/>
      <c r="L202"/>
      <c r="M202"/>
      <c r="N202"/>
      <c r="O202"/>
    </row>
    <row r="203" spans="2:15" s="8" customFormat="1" ht="28.5" customHeight="1">
      <c r="B203"/>
      <c r="C203" s="4"/>
      <c r="D203" s="4"/>
      <c r="E203" s="4"/>
      <c r="F203"/>
      <c r="G203"/>
      <c r="H203"/>
      <c r="I203"/>
      <c r="J203"/>
      <c r="K203"/>
      <c r="L203"/>
      <c r="M203"/>
      <c r="N203"/>
      <c r="O203"/>
    </row>
    <row r="204" spans="2:15" s="8" customFormat="1" ht="28.5" customHeight="1">
      <c r="B204"/>
      <c r="C204" s="4"/>
      <c r="D204" s="4"/>
      <c r="E204" s="4"/>
      <c r="F204"/>
      <c r="G204"/>
      <c r="H204"/>
      <c r="I204"/>
      <c r="J204"/>
      <c r="K204"/>
      <c r="L204"/>
      <c r="M204"/>
      <c r="N204"/>
      <c r="O204"/>
    </row>
    <row r="205" spans="2:15" s="8" customFormat="1" ht="28.5" customHeight="1">
      <c r="B205"/>
      <c r="C205" s="4"/>
      <c r="D205" s="4"/>
      <c r="E205" s="4"/>
      <c r="F205"/>
      <c r="G205"/>
      <c r="H205"/>
      <c r="I205"/>
      <c r="J205"/>
      <c r="K205"/>
      <c r="L205"/>
      <c r="M205"/>
      <c r="N205"/>
      <c r="O205"/>
    </row>
    <row r="206" spans="2:15" s="8" customFormat="1" ht="28.5" customHeight="1">
      <c r="B206"/>
      <c r="C206" s="4"/>
      <c r="D206" s="4"/>
      <c r="E206" s="4"/>
      <c r="F206"/>
      <c r="G206"/>
      <c r="H206"/>
      <c r="I206"/>
      <c r="J206"/>
      <c r="K206"/>
      <c r="L206"/>
      <c r="M206"/>
      <c r="N206"/>
      <c r="O206"/>
    </row>
    <row r="207" spans="2:15" s="8" customFormat="1" ht="28.5" customHeight="1">
      <c r="B207"/>
      <c r="C207" s="4"/>
      <c r="D207" s="4"/>
      <c r="E207" s="4"/>
      <c r="F207"/>
      <c r="G207"/>
      <c r="H207"/>
      <c r="I207"/>
      <c r="J207"/>
      <c r="K207"/>
      <c r="L207"/>
      <c r="M207"/>
      <c r="N207"/>
      <c r="O207"/>
    </row>
    <row r="208" spans="2:15" s="8" customFormat="1" ht="28.5" customHeight="1">
      <c r="B208"/>
      <c r="C208" s="4"/>
      <c r="D208" s="4"/>
      <c r="E208" s="4"/>
      <c r="F208"/>
      <c r="G208"/>
      <c r="H208"/>
      <c r="I208"/>
      <c r="J208"/>
      <c r="K208"/>
      <c r="L208"/>
      <c r="M208"/>
      <c r="N208"/>
      <c r="O208"/>
    </row>
    <row r="209" spans="2:15" s="8" customFormat="1" ht="28.5" customHeight="1">
      <c r="B209"/>
      <c r="C209" s="4"/>
      <c r="D209" s="4"/>
      <c r="E209" s="4"/>
      <c r="F209"/>
      <c r="G209"/>
      <c r="H209"/>
      <c r="I209"/>
      <c r="J209"/>
      <c r="K209"/>
      <c r="L209"/>
      <c r="M209"/>
      <c r="N209"/>
      <c r="O209"/>
    </row>
    <row r="210" spans="2:15" s="8" customFormat="1" ht="28.5" customHeight="1">
      <c r="B210"/>
      <c r="C210" s="4"/>
      <c r="D210" s="4"/>
      <c r="E210" s="4"/>
      <c r="F210"/>
      <c r="G210"/>
      <c r="H210"/>
      <c r="I210"/>
      <c r="J210"/>
      <c r="K210"/>
      <c r="L210"/>
      <c r="M210"/>
      <c r="N210"/>
      <c r="O210"/>
    </row>
    <row r="211" spans="2:15" s="8" customFormat="1" ht="28.5" customHeight="1">
      <c r="B211"/>
      <c r="C211" s="4"/>
      <c r="D211" s="4"/>
      <c r="E211" s="4"/>
      <c r="F211"/>
      <c r="G211"/>
      <c r="H211"/>
      <c r="I211"/>
      <c r="J211"/>
      <c r="K211"/>
      <c r="L211"/>
      <c r="M211"/>
      <c r="N211"/>
      <c r="O211"/>
    </row>
    <row r="212" spans="2:15" s="8" customFormat="1" ht="28.5" customHeight="1">
      <c r="B212"/>
      <c r="C212" s="4"/>
      <c r="D212" s="4"/>
      <c r="E212" s="4"/>
      <c r="F212"/>
      <c r="G212"/>
      <c r="H212"/>
      <c r="I212"/>
      <c r="J212"/>
      <c r="K212"/>
      <c r="L212"/>
      <c r="M212"/>
      <c r="N212"/>
      <c r="O212"/>
    </row>
    <row r="213" spans="2:15" s="8" customFormat="1" ht="28.5" customHeight="1">
      <c r="B213"/>
      <c r="C213" s="4"/>
      <c r="D213" s="4"/>
      <c r="E213" s="4"/>
      <c r="F213"/>
      <c r="G213"/>
      <c r="H213"/>
      <c r="I213"/>
      <c r="J213"/>
      <c r="K213"/>
      <c r="L213"/>
      <c r="M213"/>
      <c r="N213"/>
      <c r="O213"/>
    </row>
    <row r="214" spans="2:15" s="8" customFormat="1" ht="28.5" customHeight="1">
      <c r="B214"/>
      <c r="C214" s="4"/>
      <c r="D214" s="4"/>
      <c r="E214" s="4"/>
      <c r="F214"/>
      <c r="G214"/>
      <c r="H214"/>
      <c r="I214"/>
      <c r="J214"/>
      <c r="K214"/>
      <c r="L214"/>
      <c r="M214"/>
      <c r="N214"/>
      <c r="O214"/>
    </row>
    <row r="215" spans="2:15" s="8" customFormat="1" ht="28.5" customHeight="1">
      <c r="B215"/>
      <c r="C215" s="4"/>
      <c r="D215" s="4"/>
      <c r="E215" s="4"/>
      <c r="F215"/>
      <c r="G215"/>
      <c r="H215"/>
      <c r="I215"/>
      <c r="J215"/>
      <c r="K215"/>
      <c r="L215"/>
      <c r="M215"/>
      <c r="N215"/>
      <c r="O215"/>
    </row>
    <row r="216" spans="2:15" s="8" customFormat="1" ht="28.5" customHeight="1">
      <c r="B216"/>
      <c r="C216" s="4"/>
      <c r="D216" s="4"/>
      <c r="E216" s="4"/>
      <c r="F216"/>
      <c r="G216"/>
      <c r="H216"/>
      <c r="I216"/>
      <c r="J216"/>
      <c r="K216"/>
      <c r="L216"/>
      <c r="M216"/>
      <c r="N216"/>
      <c r="O216"/>
    </row>
    <row r="217" spans="2:15" s="8" customFormat="1" ht="28.5" customHeight="1">
      <c r="B217"/>
      <c r="C217" s="4"/>
      <c r="D217" s="4"/>
      <c r="E217" s="4"/>
      <c r="F217"/>
      <c r="G217"/>
      <c r="H217"/>
      <c r="I217"/>
      <c r="J217"/>
      <c r="K217"/>
      <c r="L217"/>
      <c r="M217"/>
      <c r="N217"/>
      <c r="O217"/>
    </row>
    <row r="218" spans="2:15" s="8" customFormat="1" ht="28.5" customHeight="1">
      <c r="B218"/>
      <c r="C218" s="4"/>
      <c r="D218" s="4"/>
      <c r="E218" s="4"/>
      <c r="F218"/>
      <c r="G218"/>
      <c r="H218"/>
      <c r="I218"/>
      <c r="J218"/>
      <c r="K218"/>
      <c r="L218"/>
      <c r="M218"/>
      <c r="N218"/>
      <c r="O218"/>
    </row>
    <row r="219" spans="2:15" s="8" customFormat="1" ht="28.5" customHeight="1">
      <c r="B219"/>
      <c r="C219" s="4"/>
      <c r="D219" s="4"/>
      <c r="E219" s="4"/>
      <c r="F219"/>
      <c r="G219"/>
      <c r="H219"/>
      <c r="I219"/>
      <c r="J219"/>
      <c r="K219"/>
      <c r="L219"/>
      <c r="M219"/>
      <c r="N219"/>
      <c r="O219"/>
    </row>
    <row r="220" spans="2:15" s="8" customFormat="1" ht="28.5" customHeight="1">
      <c r="B220"/>
      <c r="C220" s="4"/>
      <c r="D220" s="4"/>
      <c r="E220" s="4"/>
      <c r="F220"/>
      <c r="G220"/>
      <c r="H220"/>
      <c r="I220"/>
      <c r="J220"/>
      <c r="K220"/>
      <c r="L220"/>
      <c r="M220"/>
      <c r="N220"/>
      <c r="O220"/>
    </row>
    <row r="221" spans="2:15" s="8" customFormat="1" ht="28.5" customHeight="1">
      <c r="B221"/>
      <c r="C221" s="4"/>
      <c r="D221" s="4"/>
      <c r="E221" s="4"/>
      <c r="F221"/>
      <c r="G221"/>
      <c r="H221"/>
      <c r="I221"/>
      <c r="J221"/>
      <c r="K221"/>
      <c r="L221"/>
      <c r="M221"/>
      <c r="N221"/>
      <c r="O221"/>
    </row>
    <row r="222" spans="2:15" s="8" customFormat="1" ht="28.5" customHeight="1">
      <c r="B222"/>
      <c r="C222" s="4"/>
      <c r="D222" s="4"/>
      <c r="E222" s="4"/>
      <c r="F222"/>
      <c r="G222"/>
      <c r="H222"/>
      <c r="I222"/>
      <c r="J222"/>
      <c r="K222"/>
      <c r="L222"/>
      <c r="M222"/>
      <c r="N222"/>
      <c r="O222"/>
    </row>
    <row r="223" spans="2:15" s="8" customFormat="1" ht="28.5" customHeight="1">
      <c r="B223"/>
      <c r="C223" s="4"/>
      <c r="D223" s="4"/>
      <c r="E223" s="4"/>
      <c r="F223"/>
      <c r="G223"/>
      <c r="H223"/>
      <c r="I223"/>
      <c r="J223"/>
      <c r="K223"/>
      <c r="L223"/>
      <c r="M223"/>
      <c r="N223"/>
      <c r="O223"/>
    </row>
    <row r="224" spans="2:15" s="8" customFormat="1" ht="28.5" customHeight="1">
      <c r="B224"/>
      <c r="C224" s="4"/>
      <c r="D224" s="4"/>
      <c r="E224" s="4"/>
      <c r="F224"/>
      <c r="G224"/>
      <c r="H224"/>
      <c r="I224"/>
      <c r="J224"/>
      <c r="K224"/>
      <c r="L224"/>
      <c r="M224"/>
      <c r="N224"/>
      <c r="O224"/>
    </row>
    <row r="225" spans="2:15" s="8" customFormat="1" ht="28.5" customHeight="1">
      <c r="B225"/>
      <c r="C225" s="4"/>
      <c r="D225" s="4"/>
      <c r="E225" s="4"/>
      <c r="F225"/>
      <c r="G225"/>
      <c r="H225"/>
      <c r="I225"/>
      <c r="J225"/>
      <c r="K225"/>
      <c r="L225"/>
      <c r="M225"/>
      <c r="N225"/>
      <c r="O225"/>
    </row>
    <row r="226" spans="2:15" s="8" customFormat="1" ht="28.5" customHeight="1">
      <c r="B226"/>
      <c r="C226" s="4"/>
      <c r="D226" s="4"/>
      <c r="E226" s="4"/>
      <c r="F226"/>
      <c r="G226"/>
      <c r="H226"/>
      <c r="I226"/>
      <c r="J226"/>
      <c r="K226"/>
      <c r="L226"/>
      <c r="M226"/>
      <c r="N226"/>
      <c r="O226"/>
    </row>
    <row r="227" spans="2:15" s="8" customFormat="1" ht="28.5" customHeight="1">
      <c r="B227"/>
      <c r="C227" s="4"/>
      <c r="D227" s="4"/>
      <c r="E227" s="4"/>
      <c r="F227"/>
      <c r="G227"/>
      <c r="H227"/>
      <c r="I227"/>
      <c r="J227"/>
      <c r="K227"/>
      <c r="L227"/>
      <c r="M227"/>
      <c r="N227"/>
      <c r="O227"/>
    </row>
    <row r="228" spans="2:15" s="8" customFormat="1" ht="28.5" customHeight="1">
      <c r="B228"/>
      <c r="C228" s="4"/>
      <c r="D228" s="4"/>
      <c r="E228" s="4"/>
      <c r="F228"/>
      <c r="G228"/>
      <c r="H228"/>
      <c r="I228"/>
      <c r="J228"/>
      <c r="K228"/>
      <c r="L228"/>
      <c r="M228"/>
      <c r="N228"/>
      <c r="O228"/>
    </row>
    <row r="229" spans="2:15" s="8" customFormat="1" ht="28.5" customHeight="1">
      <c r="B229"/>
      <c r="C229" s="4"/>
      <c r="D229" s="4"/>
      <c r="E229" s="4"/>
      <c r="F229"/>
      <c r="G229"/>
      <c r="H229"/>
      <c r="I229"/>
      <c r="J229"/>
      <c r="K229"/>
      <c r="L229"/>
      <c r="M229"/>
      <c r="N229"/>
      <c r="O229"/>
    </row>
    <row r="230" spans="2:15" s="8" customFormat="1" ht="28.5" customHeight="1">
      <c r="B230"/>
      <c r="C230" s="4"/>
      <c r="D230" s="4"/>
      <c r="E230" s="4"/>
      <c r="F230"/>
      <c r="G230"/>
      <c r="H230"/>
      <c r="I230"/>
      <c r="J230"/>
      <c r="K230"/>
      <c r="L230"/>
      <c r="M230"/>
      <c r="N230"/>
      <c r="O230"/>
    </row>
    <row r="231" spans="2:15" s="8" customFormat="1" ht="28.5" customHeight="1">
      <c r="B231"/>
      <c r="C231" s="4"/>
      <c r="D231" s="4"/>
      <c r="E231" s="4"/>
      <c r="F231"/>
      <c r="G231"/>
      <c r="H231"/>
      <c r="I231"/>
      <c r="J231"/>
      <c r="K231"/>
      <c r="L231"/>
      <c r="M231"/>
      <c r="N231"/>
      <c r="O231"/>
    </row>
    <row r="232" spans="2:15" s="8" customFormat="1" ht="28.5" customHeight="1">
      <c r="B232"/>
      <c r="C232" s="4"/>
      <c r="D232" s="4"/>
      <c r="E232" s="4"/>
      <c r="F232"/>
      <c r="G232"/>
      <c r="H232"/>
      <c r="I232"/>
      <c r="J232"/>
      <c r="K232"/>
      <c r="L232"/>
      <c r="M232"/>
      <c r="N232"/>
      <c r="O232"/>
    </row>
    <row r="233" spans="2:15" s="8" customFormat="1" ht="28.5" customHeight="1">
      <c r="B233"/>
      <c r="C233" s="4"/>
      <c r="D233" s="4"/>
      <c r="E233" s="4"/>
      <c r="F233"/>
      <c r="G233"/>
      <c r="H233"/>
      <c r="I233"/>
      <c r="J233"/>
      <c r="K233"/>
      <c r="L233"/>
      <c r="M233"/>
      <c r="N233"/>
      <c r="O233"/>
    </row>
    <row r="234" spans="2:15" s="8" customFormat="1" ht="28.5" customHeight="1">
      <c r="B234"/>
      <c r="C234" s="4"/>
      <c r="D234" s="4"/>
      <c r="E234" s="4"/>
      <c r="F234"/>
      <c r="G234"/>
      <c r="H234"/>
      <c r="I234"/>
      <c r="J234"/>
      <c r="K234"/>
      <c r="L234"/>
      <c r="M234"/>
      <c r="N234"/>
      <c r="O234"/>
    </row>
    <row r="235" spans="2:15" s="8" customFormat="1" ht="28.5" customHeight="1">
      <c r="B235"/>
      <c r="C235" s="4"/>
      <c r="D235" s="4"/>
      <c r="E235" s="4"/>
      <c r="F235"/>
      <c r="G235"/>
      <c r="H235"/>
      <c r="I235"/>
      <c r="J235"/>
      <c r="K235"/>
      <c r="L235"/>
      <c r="M235"/>
      <c r="N235"/>
      <c r="O235"/>
    </row>
    <row r="236" spans="2:15" s="8" customFormat="1" ht="28.5" customHeight="1">
      <c r="B236"/>
      <c r="C236" s="4"/>
      <c r="D236" s="4"/>
      <c r="E236" s="4"/>
      <c r="F236"/>
      <c r="G236"/>
      <c r="H236"/>
      <c r="I236"/>
      <c r="J236"/>
      <c r="K236"/>
      <c r="L236"/>
      <c r="M236"/>
      <c r="N236"/>
      <c r="O236"/>
    </row>
    <row r="237" spans="2:15" s="8" customFormat="1" ht="28.5" customHeight="1">
      <c r="B237"/>
      <c r="C237" s="4"/>
      <c r="D237" s="4"/>
      <c r="E237" s="4"/>
      <c r="F237"/>
      <c r="G237"/>
      <c r="H237"/>
      <c r="I237"/>
      <c r="J237"/>
      <c r="K237"/>
      <c r="L237"/>
      <c r="M237"/>
      <c r="N237"/>
      <c r="O237"/>
    </row>
    <row r="238" spans="2:15" s="8" customFormat="1" ht="28.5" customHeight="1">
      <c r="B238"/>
      <c r="C238" s="4"/>
      <c r="D238" s="4"/>
      <c r="E238" s="4"/>
      <c r="F238"/>
      <c r="G238"/>
      <c r="H238"/>
      <c r="I238"/>
      <c r="J238"/>
      <c r="K238"/>
      <c r="L238"/>
      <c r="M238"/>
      <c r="N238"/>
      <c r="O238"/>
    </row>
    <row r="239" spans="2:15" s="8" customFormat="1" ht="28.5" customHeight="1">
      <c r="B239"/>
      <c r="C239" s="4"/>
      <c r="D239" s="4"/>
      <c r="E239" s="4"/>
      <c r="F239"/>
      <c r="G239"/>
      <c r="H239"/>
      <c r="I239"/>
      <c r="J239"/>
      <c r="K239"/>
      <c r="L239"/>
      <c r="M239"/>
      <c r="N239"/>
      <c r="O239"/>
    </row>
    <row r="240" spans="2:15" s="8" customFormat="1" ht="28.5" customHeight="1">
      <c r="B240"/>
      <c r="C240" s="4"/>
      <c r="D240" s="4"/>
      <c r="E240" s="4"/>
      <c r="F240"/>
      <c r="G240"/>
      <c r="H240"/>
      <c r="I240"/>
      <c r="J240"/>
      <c r="K240"/>
      <c r="L240"/>
      <c r="M240"/>
      <c r="N240"/>
      <c r="O240"/>
    </row>
    <row r="241" spans="2:15" s="8" customFormat="1" ht="28.5" customHeight="1">
      <c r="B241"/>
      <c r="C241" s="4"/>
      <c r="D241" s="4"/>
      <c r="E241" s="4"/>
      <c r="F241"/>
      <c r="G241"/>
      <c r="H241"/>
      <c r="I241"/>
      <c r="J241"/>
      <c r="K241"/>
      <c r="L241"/>
      <c r="M241"/>
      <c r="N241"/>
      <c r="O241"/>
    </row>
    <row r="242" spans="2:15" s="8" customFormat="1" ht="28.5" customHeight="1">
      <c r="B242"/>
      <c r="C242" s="4"/>
      <c r="D242" s="4"/>
      <c r="E242" s="4"/>
      <c r="F242"/>
      <c r="G242"/>
      <c r="H242"/>
      <c r="I242"/>
      <c r="J242"/>
      <c r="K242"/>
      <c r="L242"/>
      <c r="M242"/>
      <c r="N242"/>
      <c r="O242"/>
    </row>
    <row r="243" spans="2:15" s="8" customFormat="1" ht="28.5" customHeight="1">
      <c r="B243"/>
      <c r="C243" s="4"/>
      <c r="D243" s="4"/>
      <c r="E243" s="4"/>
      <c r="F243"/>
      <c r="G243"/>
      <c r="H243"/>
      <c r="I243"/>
      <c r="J243"/>
      <c r="K243"/>
      <c r="L243"/>
      <c r="M243"/>
      <c r="N243"/>
      <c r="O243"/>
    </row>
    <row r="244" spans="2:15" s="8" customFormat="1" ht="28.5" customHeight="1">
      <c r="B244"/>
      <c r="C244" s="4"/>
      <c r="D244" s="4"/>
      <c r="E244" s="4"/>
      <c r="F244"/>
      <c r="G244"/>
      <c r="H244"/>
      <c r="I244"/>
      <c r="J244"/>
      <c r="K244"/>
      <c r="L244"/>
      <c r="M244"/>
      <c r="N244"/>
      <c r="O244"/>
    </row>
    <row r="245" spans="2:15" s="8" customFormat="1" ht="28.5" customHeight="1">
      <c r="B245"/>
      <c r="C245" s="4"/>
      <c r="D245" s="4"/>
      <c r="E245" s="4"/>
      <c r="F245"/>
      <c r="G245"/>
      <c r="H245"/>
      <c r="I245"/>
      <c r="J245"/>
      <c r="K245"/>
      <c r="L245"/>
      <c r="M245"/>
      <c r="N245"/>
      <c r="O245"/>
    </row>
    <row r="246" spans="2:15" s="8" customFormat="1" ht="28.5" customHeight="1">
      <c r="B246"/>
      <c r="C246" s="4"/>
      <c r="D246" s="4"/>
      <c r="E246" s="4"/>
      <c r="F246"/>
      <c r="G246"/>
      <c r="H246"/>
      <c r="I246"/>
      <c r="J246"/>
      <c r="K246"/>
      <c r="L246"/>
      <c r="M246"/>
      <c r="N246"/>
      <c r="O246"/>
    </row>
    <row r="247" spans="2:15" s="8" customFormat="1" ht="28.5" customHeight="1">
      <c r="B247"/>
      <c r="C247" s="4"/>
      <c r="D247" s="4"/>
      <c r="E247" s="4"/>
      <c r="F247"/>
      <c r="G247"/>
      <c r="H247"/>
      <c r="I247"/>
      <c r="J247"/>
      <c r="K247"/>
      <c r="L247"/>
      <c r="M247"/>
      <c r="N247"/>
      <c r="O247"/>
    </row>
    <row r="248" spans="2:15" s="8" customFormat="1" ht="28.5" customHeight="1">
      <c r="B248"/>
      <c r="C248" s="4"/>
      <c r="D248" s="4"/>
      <c r="E248" s="4"/>
      <c r="F248"/>
      <c r="G248"/>
      <c r="H248"/>
      <c r="I248"/>
      <c r="J248"/>
      <c r="K248"/>
      <c r="L248"/>
      <c r="M248"/>
      <c r="N248"/>
      <c r="O248"/>
    </row>
    <row r="249" spans="2:15" s="8" customFormat="1" ht="28.5" customHeight="1">
      <c r="B249"/>
      <c r="C249" s="4"/>
      <c r="D249" s="4"/>
      <c r="E249" s="4"/>
      <c r="F249"/>
      <c r="G249"/>
      <c r="H249"/>
      <c r="I249"/>
      <c r="J249"/>
      <c r="K249"/>
      <c r="L249"/>
      <c r="M249"/>
      <c r="N249"/>
      <c r="O249"/>
    </row>
    <row r="250" spans="2:15" s="8" customFormat="1" ht="28.5" customHeight="1">
      <c r="B250"/>
      <c r="C250" s="4"/>
      <c r="D250" s="4"/>
      <c r="E250" s="4"/>
      <c r="F250"/>
      <c r="G250"/>
      <c r="H250"/>
      <c r="I250"/>
      <c r="J250"/>
      <c r="K250"/>
      <c r="L250"/>
      <c r="M250"/>
      <c r="N250"/>
      <c r="O250"/>
    </row>
    <row r="251" spans="2:15" s="8" customFormat="1" ht="28.5" customHeight="1">
      <c r="B251"/>
      <c r="C251" s="4"/>
      <c r="D251" s="4"/>
      <c r="E251" s="4"/>
      <c r="F251"/>
      <c r="G251"/>
      <c r="H251"/>
      <c r="I251"/>
      <c r="J251"/>
      <c r="K251"/>
      <c r="L251"/>
      <c r="M251"/>
      <c r="N251"/>
      <c r="O251"/>
    </row>
    <row r="252" spans="2:15" s="8" customFormat="1" ht="28.5" customHeight="1">
      <c r="B252"/>
      <c r="C252" s="4"/>
      <c r="D252" s="4"/>
      <c r="E252" s="4"/>
      <c r="F252"/>
      <c r="G252"/>
      <c r="H252"/>
      <c r="I252"/>
      <c r="J252"/>
      <c r="K252"/>
      <c r="L252"/>
      <c r="M252"/>
      <c r="N252"/>
      <c r="O252"/>
    </row>
    <row r="253" spans="2:15" s="8" customFormat="1" ht="28.5" customHeight="1">
      <c r="B253"/>
      <c r="C253" s="4"/>
      <c r="D253" s="4"/>
      <c r="E253" s="4"/>
      <c r="F253"/>
      <c r="G253"/>
      <c r="H253"/>
      <c r="I253"/>
      <c r="J253"/>
      <c r="K253"/>
      <c r="L253"/>
      <c r="M253"/>
      <c r="N253"/>
      <c r="O253"/>
    </row>
    <row r="254" spans="2:15" s="8" customFormat="1" ht="28.5" customHeight="1">
      <c r="B254"/>
      <c r="C254" s="4"/>
      <c r="D254" s="4"/>
      <c r="E254" s="4"/>
      <c r="F254"/>
      <c r="G254"/>
      <c r="H254"/>
      <c r="I254"/>
      <c r="J254"/>
      <c r="K254"/>
      <c r="L254"/>
      <c r="M254"/>
      <c r="N254"/>
      <c r="O254"/>
    </row>
    <row r="255" spans="2:15" s="8" customFormat="1" ht="28.5" customHeight="1">
      <c r="B255"/>
      <c r="C255" s="4"/>
      <c r="D255" s="4"/>
      <c r="E255" s="4"/>
      <c r="F255"/>
      <c r="G255"/>
      <c r="H255"/>
      <c r="I255"/>
      <c r="J255"/>
      <c r="K255"/>
      <c r="L255"/>
      <c r="M255"/>
      <c r="N255"/>
      <c r="O255"/>
    </row>
    <row r="256" spans="2:15" s="8" customFormat="1" ht="28.5" customHeight="1">
      <c r="B256"/>
      <c r="C256" s="4"/>
      <c r="D256" s="4"/>
      <c r="E256" s="4"/>
      <c r="F256"/>
      <c r="G256"/>
      <c r="H256"/>
      <c r="I256"/>
      <c r="J256"/>
      <c r="K256"/>
      <c r="L256"/>
      <c r="M256"/>
      <c r="N256"/>
      <c r="O256"/>
    </row>
    <row r="257" spans="2:15" s="8" customFormat="1" ht="28.5" customHeight="1">
      <c r="B257"/>
      <c r="C257" s="4"/>
      <c r="D257" s="4"/>
      <c r="E257" s="4"/>
      <c r="F257"/>
      <c r="G257"/>
      <c r="H257"/>
      <c r="I257"/>
      <c r="J257"/>
      <c r="K257"/>
      <c r="L257"/>
      <c r="M257"/>
      <c r="N257"/>
      <c r="O257"/>
    </row>
    <row r="258" spans="2:15" s="8" customFormat="1" ht="28.5" customHeight="1">
      <c r="B258"/>
      <c r="C258" s="4"/>
      <c r="D258" s="4"/>
      <c r="E258" s="4"/>
      <c r="F258"/>
      <c r="G258"/>
      <c r="H258"/>
      <c r="I258"/>
      <c r="J258"/>
      <c r="K258"/>
      <c r="L258"/>
      <c r="M258"/>
      <c r="N258"/>
      <c r="O258"/>
    </row>
    <row r="259" spans="2:15" s="8" customFormat="1" ht="28.5" customHeight="1">
      <c r="B259"/>
      <c r="C259" s="4"/>
      <c r="D259" s="4"/>
      <c r="E259" s="4"/>
      <c r="F259"/>
      <c r="G259"/>
      <c r="H259"/>
      <c r="I259"/>
      <c r="J259"/>
      <c r="K259"/>
      <c r="L259"/>
      <c r="M259"/>
      <c r="N259"/>
      <c r="O259"/>
    </row>
    <row r="260" spans="2:15" s="8" customFormat="1" ht="28.5" customHeight="1">
      <c r="B260"/>
      <c r="C260" s="4"/>
      <c r="D260" s="4"/>
      <c r="E260" s="4"/>
      <c r="F260"/>
      <c r="G260"/>
      <c r="H260"/>
      <c r="I260"/>
      <c r="J260"/>
      <c r="K260"/>
      <c r="L260"/>
      <c r="M260"/>
      <c r="N260"/>
      <c r="O260"/>
    </row>
    <row r="261" spans="2:15" s="8" customFormat="1" ht="28.5" customHeight="1">
      <c r="B261"/>
      <c r="C261" s="4"/>
      <c r="D261" s="4"/>
      <c r="E261" s="4"/>
      <c r="F261"/>
      <c r="G261"/>
      <c r="H261"/>
      <c r="I261"/>
      <c r="J261"/>
      <c r="K261"/>
      <c r="L261"/>
      <c r="M261"/>
      <c r="N261"/>
      <c r="O261"/>
    </row>
    <row r="262" spans="2:15" s="8" customFormat="1" ht="28.5" customHeight="1">
      <c r="B262"/>
      <c r="C262" s="4"/>
      <c r="D262" s="4"/>
      <c r="E262" s="4"/>
      <c r="F262"/>
      <c r="G262"/>
      <c r="H262"/>
      <c r="I262"/>
      <c r="J262"/>
      <c r="K262"/>
      <c r="L262"/>
      <c r="M262"/>
      <c r="N262"/>
      <c r="O262"/>
    </row>
    <row r="263" spans="2:15" s="8" customFormat="1" ht="28.5" customHeight="1">
      <c r="B263"/>
      <c r="C263" s="4"/>
      <c r="D263" s="4"/>
      <c r="E263" s="4"/>
      <c r="F263"/>
      <c r="G263"/>
      <c r="H263"/>
      <c r="I263"/>
      <c r="J263"/>
      <c r="K263"/>
      <c r="L263"/>
      <c r="M263"/>
      <c r="N263"/>
      <c r="O263"/>
    </row>
    <row r="264" spans="2:15" s="8" customFormat="1" ht="28.5" customHeight="1">
      <c r="B264"/>
      <c r="C264" s="4"/>
      <c r="D264" s="4"/>
      <c r="E264" s="4"/>
      <c r="F264"/>
      <c r="G264"/>
      <c r="H264"/>
      <c r="I264"/>
      <c r="J264"/>
      <c r="K264"/>
      <c r="L264"/>
      <c r="M264"/>
      <c r="N264"/>
      <c r="O264"/>
    </row>
    <row r="265" spans="2:15" s="8" customFormat="1" ht="28.5" customHeight="1">
      <c r="B265"/>
      <c r="C265" s="4"/>
      <c r="D265" s="4"/>
      <c r="E265" s="4"/>
      <c r="F265"/>
      <c r="G265"/>
      <c r="H265"/>
      <c r="I265"/>
      <c r="J265"/>
      <c r="K265"/>
      <c r="L265"/>
      <c r="M265"/>
      <c r="N265"/>
      <c r="O265"/>
    </row>
    <row r="266" spans="2:15" s="8" customFormat="1" ht="28.5" customHeight="1">
      <c r="B266"/>
      <c r="C266" s="4"/>
      <c r="D266" s="4"/>
      <c r="E266" s="4"/>
      <c r="F266"/>
      <c r="G266"/>
      <c r="H266"/>
      <c r="I266"/>
      <c r="J266"/>
      <c r="K266"/>
      <c r="L266"/>
      <c r="M266"/>
      <c r="N266"/>
      <c r="O266"/>
    </row>
    <row r="267" spans="2:15" s="8" customFormat="1" ht="28.5" customHeight="1">
      <c r="B267"/>
      <c r="C267" s="4"/>
      <c r="D267" s="4"/>
      <c r="E267" s="4"/>
      <c r="F267"/>
      <c r="G267"/>
      <c r="H267"/>
      <c r="I267"/>
      <c r="J267"/>
      <c r="K267"/>
      <c r="L267"/>
      <c r="M267"/>
      <c r="N267"/>
      <c r="O267"/>
    </row>
    <row r="268" spans="2:15" s="8" customFormat="1" ht="28.5" customHeight="1">
      <c r="B268"/>
      <c r="C268" s="4"/>
      <c r="D268" s="4"/>
      <c r="E268" s="4"/>
      <c r="F268"/>
      <c r="G268"/>
      <c r="H268"/>
      <c r="I268"/>
      <c r="J268"/>
      <c r="K268"/>
      <c r="L268"/>
      <c r="M268"/>
      <c r="N268"/>
      <c r="O268"/>
    </row>
    <row r="269" spans="2:15" s="8" customFormat="1" ht="28.5" customHeight="1">
      <c r="B269"/>
      <c r="C269" s="4"/>
      <c r="D269" s="4"/>
      <c r="E269" s="4"/>
      <c r="F269"/>
      <c r="G269"/>
      <c r="H269"/>
      <c r="I269"/>
      <c r="J269"/>
      <c r="K269"/>
      <c r="L269"/>
      <c r="M269"/>
      <c r="N269"/>
      <c r="O269"/>
    </row>
  </sheetData>
  <mergeCells count="27">
    <mergeCell ref="A6:G6"/>
    <mergeCell ref="A34:G34"/>
    <mergeCell ref="A48:G48"/>
    <mergeCell ref="A63:G63"/>
    <mergeCell ref="A182:F182"/>
    <mergeCell ref="A77:G77"/>
    <mergeCell ref="A91:G91"/>
    <mergeCell ref="A106:G106"/>
    <mergeCell ref="A119:G119"/>
    <mergeCell ref="A19:G19"/>
    <mergeCell ref="A133:G133"/>
    <mergeCell ref="A146:G146"/>
    <mergeCell ref="A161:G161"/>
    <mergeCell ref="A183:B183"/>
    <mergeCell ref="A118:B118"/>
    <mergeCell ref="F118:G118"/>
    <mergeCell ref="A132:B132"/>
    <mergeCell ref="F132:G132"/>
    <mergeCell ref="A177:G179"/>
    <mergeCell ref="A180:G181"/>
    <mergeCell ref="A3:G3"/>
    <mergeCell ref="A4:A5"/>
    <mergeCell ref="B4:B5"/>
    <mergeCell ref="C4:D4"/>
    <mergeCell ref="E4:E5"/>
    <mergeCell ref="F4:F5"/>
    <mergeCell ref="G4:G5"/>
  </mergeCells>
  <printOptions/>
  <pageMargins left="0.6299212598425197" right="0.2362204724409449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2015-01-28T13:45:39Z</dcterms:modified>
  <cp:category/>
  <cp:version/>
  <cp:contentType/>
  <cp:contentStatus/>
</cp:coreProperties>
</file>