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40" windowWidth="19320" windowHeight="6885" tabRatio="422" activeTab="0"/>
  </bookViews>
  <sheets>
    <sheet name="план 2015" sheetId="1" r:id="rId1"/>
  </sheets>
  <definedNames/>
  <calcPr fullCalcOnLoad="1"/>
</workbook>
</file>

<file path=xl/sharedStrings.xml><?xml version="1.0" encoding="utf-8"?>
<sst xmlns="http://schemas.openxmlformats.org/spreadsheetml/2006/main" count="417" uniqueCount="341">
  <si>
    <t>т.руб.</t>
  </si>
  <si>
    <t>шт.</t>
  </si>
  <si>
    <t>19</t>
  </si>
  <si>
    <t>16</t>
  </si>
  <si>
    <t>15</t>
  </si>
  <si>
    <t>12</t>
  </si>
  <si>
    <t>11</t>
  </si>
  <si>
    <t>10</t>
  </si>
  <si>
    <t>т.п.м.</t>
  </si>
  <si>
    <t>6</t>
  </si>
  <si>
    <t>5</t>
  </si>
  <si>
    <t>т.кв.м</t>
  </si>
  <si>
    <t>4</t>
  </si>
  <si>
    <t>3</t>
  </si>
  <si>
    <t>ИТОГО ПО ТЕКУЩЕМУ РЕМОНТУ:</t>
  </si>
  <si>
    <t>24</t>
  </si>
  <si>
    <t>23</t>
  </si>
  <si>
    <t>IV.</t>
  </si>
  <si>
    <t>Ремонт ГРЩ ВУ, ВРУ, ЭЩ и т.д.</t>
  </si>
  <si>
    <t>ЭЛЕКТРОМОНТАЖНЫЕ РАБОТЫ</t>
  </si>
  <si>
    <t>III.</t>
  </si>
  <si>
    <t>18</t>
  </si>
  <si>
    <t>Замена отопительных приборов</t>
  </si>
  <si>
    <t>17</t>
  </si>
  <si>
    <t>т.п.м</t>
  </si>
  <si>
    <t xml:space="preserve">систем канализации </t>
  </si>
  <si>
    <t>теплоснабжения</t>
  </si>
  <si>
    <t>ХВС</t>
  </si>
  <si>
    <t>ГВС</t>
  </si>
  <si>
    <t>САНИТАРНО-ТЕХНИЧЕСКИЕ РАБОТЫ</t>
  </si>
  <si>
    <t>II.</t>
  </si>
  <si>
    <t>14</t>
  </si>
  <si>
    <t>13</t>
  </si>
  <si>
    <t>Установка металлических дверей, решеток</t>
  </si>
  <si>
    <t>9</t>
  </si>
  <si>
    <t>8</t>
  </si>
  <si>
    <t>7</t>
  </si>
  <si>
    <t>л/кл</t>
  </si>
  <si>
    <t>Ремонт и окраска фасадов</t>
  </si>
  <si>
    <t>мягкой</t>
  </si>
  <si>
    <t>1.2</t>
  </si>
  <si>
    <t>жесткой</t>
  </si>
  <si>
    <t>1.1</t>
  </si>
  <si>
    <t>в том числе,</t>
  </si>
  <si>
    <t>Ремонт кровли (А.П.)</t>
  </si>
  <si>
    <t>ОБЩЕСТРОИТЕЛЬНЫЕ РАБОТЫ</t>
  </si>
  <si>
    <t>I.</t>
  </si>
  <si>
    <t>подр.сп</t>
  </si>
  <si>
    <t>хоз.сп.</t>
  </si>
  <si>
    <t xml:space="preserve">Всего </t>
  </si>
  <si>
    <t>ед.изм.</t>
  </si>
  <si>
    <t>Наименование работ</t>
  </si>
  <si>
    <t>Код</t>
  </si>
  <si>
    <t>Текущий ремонт, выполняемый за счет средств</t>
  </si>
  <si>
    <t>к-во домов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</si>
  <si>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</si>
  <si>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</si>
  <si>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</si>
  <si>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</si>
  <si>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</si>
  <si>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</si>
  <si>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2.4.</t>
  </si>
  <si>
    <t>Ремонт и замена слуховых окон</t>
  </si>
  <si>
    <t>2.5.</t>
  </si>
  <si>
    <t>Ремонт печей</t>
  </si>
  <si>
    <t>20</t>
  </si>
  <si>
    <t>РАБОТЫ ВЫПОЛНЯЕМЫЕ СПЕЦИАЛИЗИРОВАННЫМИ ОРГАНИЗАЦИЯМИ</t>
  </si>
  <si>
    <t>Аварийно-восстановительные работы (не менее 10%)</t>
  </si>
  <si>
    <t>Средний пр. В.О.  д. 99/18 лит "А"</t>
  </si>
  <si>
    <t>Средний пр. В.О.  д. 99/18 лит "Б"</t>
  </si>
  <si>
    <t>12-я линия д.19 литера А</t>
  </si>
  <si>
    <t>13-я  линия  д.  2/19 литера А</t>
  </si>
  <si>
    <t>19- линия  д. 6 литера А</t>
  </si>
  <si>
    <t>20-я линия  д.  9 литера А</t>
  </si>
  <si>
    <t>23-я линия д.28 литера А</t>
  </si>
  <si>
    <t>ул. Беринга  д.  3 литера З</t>
  </si>
  <si>
    <t>ул. Беринга , д.  8 литера А</t>
  </si>
  <si>
    <t>ул. Беринга  д.  16 литера А</t>
  </si>
  <si>
    <t>ул. Беринга   д.  18 литера А</t>
  </si>
  <si>
    <t>ул. Беринга   д.  20 литера А</t>
  </si>
  <si>
    <t>ул. Беринга  д. 22  к. 1 литера А</t>
  </si>
  <si>
    <t>ул. Беринга  д.  24 к. 1 литера А</t>
  </si>
  <si>
    <t>ул. Беринга  д.  24 к. 2 литера Б</t>
  </si>
  <si>
    <t>ул. Беринга  д.  24 к. 3 литера В</t>
  </si>
  <si>
    <t>ул. Беринга  д.  26 к. 1 литера А</t>
  </si>
  <si>
    <t>ул. Беринга   д.  26 к. 3 литера Е</t>
  </si>
  <si>
    <t>ул. Беринга  д. 28 к. 1 литера А</t>
  </si>
  <si>
    <t>ул. Беринга  д.  28 к. 2 литера Б</t>
  </si>
  <si>
    <t>Большой пр. В.О. д.  52/15 литера А</t>
  </si>
  <si>
    <t>Большой пр.В.О.  д.  82 литера А</t>
  </si>
  <si>
    <t>Большой пр. В.О.  д.  82 литера Б</t>
  </si>
  <si>
    <t>Большой пр.В.О.  д.  89 литера А</t>
  </si>
  <si>
    <t>Большой пр.В.О.  д.  90 литера А</t>
  </si>
  <si>
    <t>Большой пр.В.О.  д.  91  литера А</t>
  </si>
  <si>
    <t>Большой пр.В.О.  д.  92 литера А</t>
  </si>
  <si>
    <t>Большой пр.В.О.  д.  94 литера Б</t>
  </si>
  <si>
    <t>Большой пр. В.О.  д.  99 литера А</t>
  </si>
  <si>
    <t>Большой пр. В.О.  д.  99 литера Б</t>
  </si>
  <si>
    <t>Большой пр.В.О.  д.  96 литера В</t>
  </si>
  <si>
    <t>Большой пр.В.О.  д. 101 литера А</t>
  </si>
  <si>
    <t>Весельная ул.,  д.   2/  93 литера А</t>
  </si>
  <si>
    <t>Весельная ул.,  д.   2/  93 литера Б</t>
  </si>
  <si>
    <t>Весельная ул.,  д.   4 литера А</t>
  </si>
  <si>
    <t>Весельная ул.,  д.   4 литера Б</t>
  </si>
  <si>
    <t>Весельная ул.,  д.   5 литера А</t>
  </si>
  <si>
    <t>Весельная ул.,  д. 7/10 литера А</t>
  </si>
  <si>
    <t>Весельная ул.,  д.   8 литера А</t>
  </si>
  <si>
    <t>Весельная ул.,  д.   9 литера А</t>
  </si>
  <si>
    <t>Весельная ул.,  д.  10 литера А</t>
  </si>
  <si>
    <t>Весельная ул.,  д.  11 литера А</t>
  </si>
  <si>
    <t>Весельная ул.,  д.  12 литера А</t>
  </si>
  <si>
    <t>Гаванская ул.,  д.   2/  97 литера А</t>
  </si>
  <si>
    <t>Гаванская ул.,  д.   4 литера А</t>
  </si>
  <si>
    <t>Гаванская ул.,  д.   6 литера А</t>
  </si>
  <si>
    <t>Гаванская ул.,  д.   7 литера А</t>
  </si>
  <si>
    <t>Гаванская ул.,  д.   9 литера А</t>
  </si>
  <si>
    <t>Гаванская ул.,  д.  10 литера А</t>
  </si>
  <si>
    <t>Гаванская ул.,  д.  11 литера А</t>
  </si>
  <si>
    <t>Гаванская ул.,  д.  12 литера А</t>
  </si>
  <si>
    <t>Гаванская ул.,  д.  14 литера В</t>
  </si>
  <si>
    <t>Гаванская ул.,  д.  14 литера Д</t>
  </si>
  <si>
    <t>Гаванская ул.,  д.  15 литера А</t>
  </si>
  <si>
    <t>Гаванская ул.,  д.  16 литера А</t>
  </si>
  <si>
    <t>Гаванская ул.,  д.  17 литера А</t>
  </si>
  <si>
    <t>Гаванская ул.,  д.  19/ 100 литера А</t>
  </si>
  <si>
    <t>Гаванская ул.,  д.  24 литера А</t>
  </si>
  <si>
    <t>Гаванская ул.,  д.  26 литера А</t>
  </si>
  <si>
    <t>Гаванская ул.,  д.  27 литера А</t>
  </si>
  <si>
    <t>Гаванская ул.,  д.  30 литера А</t>
  </si>
  <si>
    <t>Гаванская ул.,  д.  33 литера А</t>
  </si>
  <si>
    <t>Гаванская ул.,  д.  32 литера А</t>
  </si>
  <si>
    <t>Гаванская ул.,  д.  34 литера А</t>
  </si>
  <si>
    <t>Гаванская ул.,  д.  35 литера А</t>
  </si>
  <si>
    <t>Гаванская ул.,  д.  36 литера А</t>
  </si>
  <si>
    <t>Гаванская ул.,  д.  37 литера А</t>
  </si>
  <si>
    <t>Гаванская ул.,  д.  38 литера А</t>
  </si>
  <si>
    <t>Гаванская ул.,  д.  40 литера А</t>
  </si>
  <si>
    <t>Гаванская ул.,  д.  41 литера А</t>
  </si>
  <si>
    <t>Гаванская ул.,  д.  42 литера А</t>
  </si>
  <si>
    <t>Гаванская ул.,  д.  43 литера А</t>
  </si>
  <si>
    <t>Гаванская ул.,  д.  44 литера А</t>
  </si>
  <si>
    <t>Гаванская ул.,  д.  45 литера А</t>
  </si>
  <si>
    <t>Гаванская ул.,  д.  46 литера А</t>
  </si>
  <si>
    <t>Гаванская ул.,  д.  47 литера А</t>
  </si>
  <si>
    <t>Гаванская ул.,  д.  47 литера Б</t>
  </si>
  <si>
    <t>Гаванская ул.,  д.  47 литера В</t>
  </si>
  <si>
    <t>Гаванская ул.,  д.  47 литера Г</t>
  </si>
  <si>
    <t>Гаванская ул.,  д.  47 литера Д</t>
  </si>
  <si>
    <t>Гаванская ул.,  д.  48 литера А</t>
  </si>
  <si>
    <t>Гаванская ул.,  д.  49 литера А</t>
  </si>
  <si>
    <t>Гаванская ул.,  д.  49  к   2 литера А</t>
  </si>
  <si>
    <t>Гаванская ул.,  д.  51 литера А</t>
  </si>
  <si>
    <t>Детская ул.,  д.  11 литера А</t>
  </si>
  <si>
    <t>Детская ул.,  д.  17 литера А</t>
  </si>
  <si>
    <t>Детская ул.,  д.  26 литера А</t>
  </si>
  <si>
    <t>Детская ул.,  д.  30 литера А</t>
  </si>
  <si>
    <t>Детская ул.,  д.  34/  90 литера А</t>
  </si>
  <si>
    <t>Железноводская ул.д.26-28 литера А</t>
  </si>
  <si>
    <t>Канареечная ул., д.   6/4 литера А</t>
  </si>
  <si>
    <t>Канареечная ул,  д.  10 литера А</t>
  </si>
  <si>
    <t>Карташихина ул.,  д.   2/  13 литера А</t>
  </si>
  <si>
    <t>Карташихина ул.,  д.   6 литера А</t>
  </si>
  <si>
    <t>Карташихина ул.,  д.   7 литера А</t>
  </si>
  <si>
    <t>Карташихина ул.,  д.  10/  97 литера А</t>
  </si>
  <si>
    <t>Карташихина ул.,  д.  12 литера А</t>
  </si>
  <si>
    <t>Карташихина ул.,  д.  13 литера А</t>
  </si>
  <si>
    <t>Карташихина ул.,  д.  17 литера А</t>
  </si>
  <si>
    <t>Карташихина ул.,  д.  19 литера А</t>
  </si>
  <si>
    <t>Карташихина ул.,  д.  21 литера А</t>
  </si>
  <si>
    <t>Карташихина ул.,  д.  22 литера А</t>
  </si>
  <si>
    <t>Карташихина ул.,  д.  20 литера В</t>
  </si>
  <si>
    <t>пр.КИМа  д.  11 литера А</t>
  </si>
  <si>
    <t>пр.КИМа   д. 13 литера А</t>
  </si>
  <si>
    <t>Кораблестроителей ул., д.  16 к.1 литера А</t>
  </si>
  <si>
    <t>Кораблестроителей ул., д.19 к.1 литера А</t>
  </si>
  <si>
    <t>Кораблестроителей ул., д.19 к.1 литера В</t>
  </si>
  <si>
    <t>Кораблестроителей ул., д.19 к.2 литера А</t>
  </si>
  <si>
    <t>Кораблестроителей ул., д.22 к.1 литера А</t>
  </si>
  <si>
    <t>Косая линия 24/25 литера А</t>
  </si>
  <si>
    <t>Малый пр.В.О. д.65  к.1 литера А</t>
  </si>
  <si>
    <t>Малый пр.В.О. д.65  к.2 литера Б</t>
  </si>
  <si>
    <t>Малый пр.В.О. д.67  к.1 литера А</t>
  </si>
  <si>
    <t>Малый пр.В.О. д.67  к.2 литера Б</t>
  </si>
  <si>
    <t>Малый пр.В.О.  д.  70 литера А</t>
  </si>
  <si>
    <t>Малый пр.В.О.  д.  75 литера А</t>
  </si>
  <si>
    <t>Мичманская ул., д.   2 к.1 литера А</t>
  </si>
  <si>
    <t>Мичманская ул., д.4 литера А</t>
  </si>
  <si>
    <t>Морская наб., д.   9 литера В</t>
  </si>
  <si>
    <t>Морская наб., д.15 (1-21 л/к) литера А</t>
  </si>
  <si>
    <t>Морская наб., д.15 (26-27 л/к) литера Д</t>
  </si>
  <si>
    <t>Морская наб., д.15 (28-29 л/к) литера Г</t>
  </si>
  <si>
    <t>Морская наб., д.17 (1-3  л/к) литера Б</t>
  </si>
  <si>
    <t>Морская наб., д.17 (6-7 л/к) литера Г</t>
  </si>
  <si>
    <t>Морская наб., д.17 (8-9 л/к) литера Д</t>
  </si>
  <si>
    <t>Морская наб., д.17 (12 л/к) литера Ж</t>
  </si>
  <si>
    <t>Морская наб., д.  17 к.2 литера А</t>
  </si>
  <si>
    <t>Морская наб., д.  17 к.3 литера А</t>
  </si>
  <si>
    <t>Морская наб., д.  19 литера А</t>
  </si>
  <si>
    <t>Наличная ул.,  д.   5 литера А</t>
  </si>
  <si>
    <t>Наличная ул.,  д.   7 литера А</t>
  </si>
  <si>
    <t>Наличная ул.,  д.   9 литера А</t>
  </si>
  <si>
    <t>Наличная ул.,  д.  11 литера А</t>
  </si>
  <si>
    <t>Наличная ул., д.  12 литера А</t>
  </si>
  <si>
    <t>Наличная ул.,  д.  13 литера А</t>
  </si>
  <si>
    <t>Наличная ул., д.  14 литера А</t>
  </si>
  <si>
    <t>Наличная ул.,  д.  15 литера А</t>
  </si>
  <si>
    <t>Наличная ул.,  д.  15  к.2 литера А</t>
  </si>
  <si>
    <t>Наличная ул.,  д.  17 литера А</t>
  </si>
  <si>
    <t>Наличная ул. д.18 литера Б</t>
  </si>
  <si>
    <t>Наличная ул.,  д.  19 литера А</t>
  </si>
  <si>
    <t>Наличная ул.,  д.  19  литера Б</t>
  </si>
  <si>
    <t>Наличная ул.,  д.  21 литера А</t>
  </si>
  <si>
    <t>Наличная ул., д.  22 литера А</t>
  </si>
  <si>
    <t>Наличная ул.,  д.  23 литера А</t>
  </si>
  <si>
    <t>Наличная ул.,  д.  25/84 литера А</t>
  </si>
  <si>
    <t>Наличная ул.,  д.  27 литера А</t>
  </si>
  <si>
    <t>Наличная ул.,  д.  29 литера А</t>
  </si>
  <si>
    <t>Наличная ул.,  д.  31 литера А</t>
  </si>
  <si>
    <t>Наличная ул.,  д.  33 литера А</t>
  </si>
  <si>
    <t>Наличная ул.,  д.  35  к.   1 литера А</t>
  </si>
  <si>
    <t>Наличная ул.,  д.  35  к   2 литера Б</t>
  </si>
  <si>
    <t>Наличная ул.,  д.  35  к.   3 литера В</t>
  </si>
  <si>
    <t>Наличная ул.,  д.  37  к.   2 литера Б</t>
  </si>
  <si>
    <t>Наличная ул.,  д.  37  к.   4 литера Г</t>
  </si>
  <si>
    <t>ул. Нахимова   д.   1 литера А</t>
  </si>
  <si>
    <t>ул. Нахимова   д.   2/  30 литера А</t>
  </si>
  <si>
    <t>ул Нахимова   д.   4 литера В</t>
  </si>
  <si>
    <t>ул. Нахимова  д. 3 к. 2 литера А</t>
  </si>
  <si>
    <t>ул Нахимова   д. 5 к.   4 литера А</t>
  </si>
  <si>
    <t>ул. Нахимова   д. 7 корп.  3 литера А</t>
  </si>
  <si>
    <t>ул. Нахимова  д.    8  к.   3 литера В</t>
  </si>
  <si>
    <t>ул. Нахимова   д.  12 литера Б</t>
  </si>
  <si>
    <t>ул. Нахимова   д.  14/  41 литера А</t>
  </si>
  <si>
    <t>ул Нахимова   д.  14/  41 литера Б</t>
  </si>
  <si>
    <t>ул. Одоевского   д. 12 литера А</t>
  </si>
  <si>
    <t>Опочинина ул.,  д.   3 литера А</t>
  </si>
  <si>
    <t>Опочинина ул.,  д.   5 литера А</t>
  </si>
  <si>
    <t>Опочинина ул.,  д.   6 литера А</t>
  </si>
  <si>
    <t>Опочинина ул.,  д.   7 литера А</t>
  </si>
  <si>
    <t>Опочинина ул.,  д.   9 литера А</t>
  </si>
  <si>
    <t>Опочинина ул.,  д.  11 литера А</t>
  </si>
  <si>
    <t>Опочинина ул.,  д.  13 литера А</t>
  </si>
  <si>
    <t>Опочинина ул.,  д.  15/  18 литера А</t>
  </si>
  <si>
    <t>Опочинина ул.,  д.  17 литера А</t>
  </si>
  <si>
    <t>Опочинина ул.,  д.  17 литера В</t>
  </si>
  <si>
    <t>Опочинина ул.,  д.  21 литера А</t>
  </si>
  <si>
    <t>Опочинина ул.,  д.  27 литера А</t>
  </si>
  <si>
    <t>Опочинина ул.,  д.  29 литера А</t>
  </si>
  <si>
    <t>Опочинина ул.,  д.  33 литера А</t>
  </si>
  <si>
    <t>Остоумова ул.,  д.   7/   9 литера А</t>
  </si>
  <si>
    <t>Остоумова ул.,  д.   7/   9 литера Б</t>
  </si>
  <si>
    <t>Остоумова ул.,  д.   8 литера А</t>
  </si>
  <si>
    <t>Остоумова ул.,  д.  10 литера А</t>
  </si>
  <si>
    <t>Среднегаванский пр, д.   1 литера А</t>
  </si>
  <si>
    <t>Среднегаванский пр,  д.   2/20 литера А</t>
  </si>
  <si>
    <t>Среднегаванский пр,  д.   2/20 литера Б</t>
  </si>
  <si>
    <t>Среднегаванский пр, д.   3 литера А</t>
  </si>
  <si>
    <t>Среднегаванский пр,  д.   7/ 8 литера А</t>
  </si>
  <si>
    <t>Среднегаванский пр,  д.   9 литера А</t>
  </si>
  <si>
    <t>Среднегаванский пр,  д.  12 литера А</t>
  </si>
  <si>
    <t>Среднегаванский пр,  д.  14 литера А</t>
  </si>
  <si>
    <t>Средний пр В.О. д.  70 литера А</t>
  </si>
  <si>
    <t>Средний пр В.О. д.  79 литера А</t>
  </si>
  <si>
    <t>Средний пр В.О. д.  79 к.1 литера Б</t>
  </si>
  <si>
    <t>Средний пр.В.О.  д.  92 литера А</t>
  </si>
  <si>
    <t>Средний пр.В.О.  д.  96 литера А</t>
  </si>
  <si>
    <t>Средний пр.В.О. д.  98 литера А</t>
  </si>
  <si>
    <t>Средний пр.В.О.  д. 106 литера Б</t>
  </si>
  <si>
    <t>ул.Шевченко   д.   2 литера А</t>
  </si>
  <si>
    <t>ул. Шевченко   д.   3 литера А</t>
  </si>
  <si>
    <t>ул. Шевченко   д.   4 литера А</t>
  </si>
  <si>
    <t>ул. Шевченко   д.   5/ 6 литера А</t>
  </si>
  <si>
    <t>ул. Шевченко   д.   9 литера А</t>
  </si>
  <si>
    <t>ул.Шевченко  д.  11 литера А</t>
  </si>
  <si>
    <t>ул.Шевченко ул.  д.  16 литера А</t>
  </si>
  <si>
    <t>ул. Шевченко  д.  17 литера А</t>
  </si>
  <si>
    <t>ул. Шевченко  д.  18 литера А</t>
  </si>
  <si>
    <t>ул. Шевченко   д.  22  к.   1 литера А</t>
  </si>
  <si>
    <t>ул. Шевченко   д.  22 к.   2 литера Ж</t>
  </si>
  <si>
    <t>ул. Шевченко   д.  23 к.   1 литера А</t>
  </si>
  <si>
    <t>ул. Шевченко   д.  24 к.1 литера А</t>
  </si>
  <si>
    <t>ул Шевченко   д.  24  к.   2 литера Ж</t>
  </si>
  <si>
    <t>ул. Шевченко   д.  27 литера А</t>
  </si>
  <si>
    <t>ул. Шевченко   д.  28 литера А</t>
  </si>
  <si>
    <t>ул. Шевченко   д.  29 литера А</t>
  </si>
  <si>
    <t>ул. Шевченко   д.  30 литера А</t>
  </si>
  <si>
    <t>ул. Шевченко   д.  31 литера А</t>
  </si>
  <si>
    <t>ул. Шевченко   д.  32 литера А</t>
  </si>
  <si>
    <t>ул. Шевченко   д.  33 литера А</t>
  </si>
  <si>
    <t>ул. Шевченко   д.  34 литера А</t>
  </si>
  <si>
    <t>ул. Шевченко   д.  37 литера А</t>
  </si>
  <si>
    <t>ул. Шевченко ул.,  д.  38 литера А</t>
  </si>
  <si>
    <t>Шкиперский проток, д.   2 литера Б</t>
  </si>
  <si>
    <t>кв.м.</t>
  </si>
  <si>
    <t>Площадь дома</t>
  </si>
  <si>
    <t>1.3</t>
  </si>
  <si>
    <t>Усиление элементов деревянной стропильной системы</t>
  </si>
  <si>
    <t>Восстановление отделки стен, потолков технических помещений</t>
  </si>
  <si>
    <t>Нормализация ТВР чердачных помещений, (А.П.)  всего, в  том числе:</t>
  </si>
  <si>
    <t>Дополнительная теплоизоляция верхней разводки системы отопления (по всей разводке)</t>
  </si>
  <si>
    <t>Покрытие фасонных частей верхней разводки теплоизоляционной краской</t>
  </si>
  <si>
    <t>Прочие работы (ремонт вентиляционных и дымоходных каналов и т.д.)</t>
  </si>
  <si>
    <t>Герметизация стыков стеновых панелей</t>
  </si>
  <si>
    <t>Косметический ремонт лестничных клеток (А.П.)</t>
  </si>
  <si>
    <t>2.</t>
  </si>
  <si>
    <t>Замена, восстановление отдельных учасктов полов, ступеней МОП и технических помещений</t>
  </si>
  <si>
    <t xml:space="preserve">Замена водосточных труб </t>
  </si>
  <si>
    <t>Замена водосточных труб на антивандальные</t>
  </si>
  <si>
    <t xml:space="preserve">Ремонт отмостки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</si>
  <si>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</si>
  <si>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</si>
  <si>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</si>
  <si>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Устранение местных деформаций, усиление, восстановление поврежденных участков фундаментов</t>
  </si>
  <si>
    <t>тыс.кв.м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</si>
  <si>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</si>
  <si>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</si>
  <si>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</si>
  <si>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</si>
  <si>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</si>
  <si>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</si>
  <si>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22</t>
  </si>
  <si>
    <t>Ремонт трубопроводов, всего, в том числе:</t>
  </si>
  <si>
    <t>22.1</t>
  </si>
  <si>
    <t>22.2</t>
  </si>
  <si>
    <t>22.3</t>
  </si>
  <si>
    <t>22.4</t>
  </si>
  <si>
    <t xml:space="preserve">Замена и ремонт эапорной арматуры систем Ц/О, ГВС, ХВС 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</si>
  <si>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</si>
  <si>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</si>
  <si>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</si>
  <si>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28</t>
  </si>
  <si>
    <t>29</t>
  </si>
  <si>
    <t>30</t>
  </si>
  <si>
    <t xml:space="preserve">Замена и восстановление дверных заполнений  </t>
  </si>
  <si>
    <t>Платы населения (работы, выполняемые ООО "ЖКС")</t>
  </si>
  <si>
    <t xml:space="preserve">    Лимит текущего ремонта на год</t>
  </si>
  <si>
    <t>Сумма текущего ремонта на месяц (тариф 5,08)</t>
  </si>
  <si>
    <t>,</t>
  </si>
  <si>
    <t>ул. Беринга  д.  32 к. 1 литера А</t>
  </si>
  <si>
    <r>
      <t>Антисептирование</t>
    </r>
    <r>
      <rPr>
        <sz val="10"/>
        <rFont val="Times New Roman"/>
        <family val="1"/>
      </rPr>
      <t xml:space="preserve"> деревянной стропильной системы</t>
    </r>
  </si>
  <si>
    <r>
      <t>Антиперирование</t>
    </r>
    <r>
      <rPr>
        <sz val="10"/>
        <rFont val="Times New Roman"/>
        <family val="1"/>
      </rPr>
      <t xml:space="preserve"> деревянной стропильной системы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</si>
</sst>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_ ;[Red]\-#,##0.000\ "/>
    <numFmt numFmtId="166" formatCode="#,##0_ ;[Red]\-#,##0\ "/>
    <numFmt numFmtId="167" formatCode="0.000"/>
    <numFmt numFmtId="168" formatCode="#,##0.00_р_."/>
    <numFmt numFmtId="169" formatCode="#,##0.0_ ;[Red]\-#,##0.0\ "/>
    <numFmt numFmtId="170" formatCode="0.0"/>
    <numFmt numFmtId="171" formatCode="#,##0.0000_ ;[Red]\-#,##0.0000\ "/>
    <numFmt numFmtId="172" formatCode="#,##0.00000_ ;[Red]\-#,##0.00000\ "/>
    <numFmt numFmtId="173" formatCode="#,##0.000000_ ;[Red]\-#,##0.000000\ "/>
    <numFmt numFmtId="174" formatCode="0.0000"/>
    <numFmt numFmtId="175" formatCode="#,##0.0000000_ ;[Red]\-#,##0.0000000\ "/>
    <numFmt numFmtId="176" formatCode="#,##0.00000000_ ;[Red]\-#,##0.00000000\ "/>
    <numFmt numFmtId="177" formatCode="#,##0.000000000_ ;[Red]\-#,##0.000000000\ 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0000"/>
    <numFmt numFmtId="181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49" fontId="20" fillId="0" borderId="10" xfId="53" applyNumberFormat="1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left" vertical="center"/>
      <protection/>
    </xf>
    <xf numFmtId="2" fontId="20" fillId="0" borderId="10" xfId="0" applyNumberFormat="1" applyFont="1" applyFill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2" fontId="20" fillId="0" borderId="10" xfId="0" applyNumberFormat="1" applyFont="1" applyFill="1" applyBorder="1" applyAlignment="1">
      <alignment/>
    </xf>
    <xf numFmtId="165" fontId="20" fillId="0" borderId="10" xfId="0" applyNumberFormat="1" applyFont="1" applyFill="1" applyBorder="1" applyAlignment="1">
      <alignment/>
    </xf>
    <xf numFmtId="0" fontId="20" fillId="0" borderId="10" xfId="53" applyFont="1" applyFill="1" applyBorder="1" applyAlignment="1">
      <alignment horizontal="center" vertical="center"/>
      <protection/>
    </xf>
    <xf numFmtId="167" fontId="20" fillId="0" borderId="10" xfId="0" applyNumberFormat="1" applyFont="1" applyFill="1" applyBorder="1" applyAlignment="1">
      <alignment horizontal="center"/>
    </xf>
    <xf numFmtId="2" fontId="20" fillId="0" borderId="10" xfId="53" applyNumberFormat="1" applyFont="1" applyFill="1" applyBorder="1" applyAlignment="1">
      <alignment horizontal="left" vertical="center" wrapText="1"/>
      <protection/>
    </xf>
    <xf numFmtId="2" fontId="20" fillId="0" borderId="10" xfId="53" applyNumberFormat="1" applyFont="1" applyFill="1" applyBorder="1" applyAlignment="1">
      <alignment horizontal="center"/>
      <protection/>
    </xf>
    <xf numFmtId="1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2" fontId="21" fillId="0" borderId="10" xfId="53" applyNumberFormat="1" applyFont="1" applyFill="1" applyBorder="1" applyAlignment="1">
      <alignment horizontal="center"/>
      <protection/>
    </xf>
    <xf numFmtId="166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7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0" fillId="0" borderId="10" xfId="0" applyNumberFormat="1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right"/>
    </xf>
    <xf numFmtId="0" fontId="2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X126"/>
  <sheetViews>
    <sheetView tabSelected="1" zoomScalePageLayoutView="0" workbookViewId="0" topLeftCell="A1">
      <selection activeCell="B115" sqref="B115"/>
    </sheetView>
  </sheetViews>
  <sheetFormatPr defaultColWidth="3.625" defaultRowHeight="12.75"/>
  <cols>
    <col min="1" max="1" width="4.625" style="20" customWidth="1"/>
    <col min="2" max="2" width="82.00390625" style="20" customWidth="1"/>
    <col min="3" max="6" width="10.75390625" style="20" customWidth="1"/>
    <col min="7" max="56" width="7.75390625" style="20" customWidth="1"/>
    <col min="57" max="59" width="6.00390625" style="20" customWidth="1"/>
    <col min="60" max="60" width="7.00390625" style="20" customWidth="1"/>
    <col min="61" max="61" width="9.125" style="20" customWidth="1"/>
    <col min="62" max="62" width="8.625" style="20" customWidth="1"/>
    <col min="63" max="63" width="7.375" style="20" customWidth="1"/>
    <col min="64" max="66" width="6.00390625" style="20" customWidth="1"/>
    <col min="67" max="68" width="7.00390625" style="20" customWidth="1"/>
    <col min="69" max="69" width="8.875" style="20" customWidth="1"/>
    <col min="70" max="70" width="7.00390625" style="20" customWidth="1"/>
    <col min="71" max="71" width="6.00390625" style="20" customWidth="1"/>
    <col min="72" max="73" width="7.00390625" style="20" customWidth="1"/>
    <col min="74" max="74" width="6.00390625" style="20" customWidth="1"/>
    <col min="75" max="81" width="7.00390625" style="20" customWidth="1"/>
    <col min="82" max="82" width="6.875" style="20" customWidth="1"/>
    <col min="83" max="91" width="7.75390625" style="20" customWidth="1"/>
    <col min="92" max="92" width="7.375" style="20" customWidth="1"/>
    <col min="93" max="123" width="7.75390625" style="20" customWidth="1"/>
    <col min="124" max="124" width="7.625" style="20" customWidth="1"/>
    <col min="125" max="151" width="7.75390625" style="20" customWidth="1"/>
    <col min="152" max="152" width="7.375" style="20" customWidth="1"/>
    <col min="153" max="166" width="7.75390625" style="20" customWidth="1"/>
    <col min="167" max="167" width="7.625" style="20" customWidth="1"/>
    <col min="168" max="184" width="7.75390625" style="20" customWidth="1"/>
    <col min="185" max="185" width="7.625" style="20" customWidth="1"/>
    <col min="186" max="189" width="7.75390625" style="20" customWidth="1"/>
    <col min="190" max="190" width="7.625" style="20" customWidth="1"/>
    <col min="191" max="232" width="7.75390625" style="20" customWidth="1"/>
    <col min="233" max="16384" width="3.625" style="20" customWidth="1"/>
  </cols>
  <sheetData>
    <row r="1" spans="1:34" ht="18" customHeight="1">
      <c r="A1" s="19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2"/>
      <c r="AG1" s="23"/>
      <c r="AH1" s="21"/>
    </row>
    <row r="2" spans="1:232" ht="49.5" customHeight="1">
      <c r="A2" s="24" t="s">
        <v>52</v>
      </c>
      <c r="B2" s="1" t="s">
        <v>51</v>
      </c>
      <c r="C2" s="1" t="s">
        <v>50</v>
      </c>
      <c r="D2" s="25" t="s">
        <v>53</v>
      </c>
      <c r="E2" s="25"/>
      <c r="F2" s="25"/>
      <c r="G2" s="26" t="s">
        <v>70</v>
      </c>
      <c r="H2" s="26" t="s">
        <v>71</v>
      </c>
      <c r="I2" s="26" t="s">
        <v>72</v>
      </c>
      <c r="J2" s="26" t="s">
        <v>73</v>
      </c>
      <c r="K2" s="26" t="s">
        <v>74</v>
      </c>
      <c r="L2" s="26" t="s">
        <v>75</v>
      </c>
      <c r="M2" s="26" t="s">
        <v>76</v>
      </c>
      <c r="N2" s="26" t="s">
        <v>77</v>
      </c>
      <c r="O2" s="26" t="s">
        <v>78</v>
      </c>
      <c r="P2" s="26" t="s">
        <v>79</v>
      </c>
      <c r="Q2" s="26" t="s">
        <v>80</v>
      </c>
      <c r="R2" s="26" t="s">
        <v>81</v>
      </c>
      <c r="S2" s="26" t="s">
        <v>82</v>
      </c>
      <c r="T2" s="26" t="s">
        <v>83</v>
      </c>
      <c r="U2" s="26" t="s">
        <v>84</v>
      </c>
      <c r="V2" s="26" t="s">
        <v>85</v>
      </c>
      <c r="W2" s="26" t="s">
        <v>86</v>
      </c>
      <c r="X2" s="26" t="s">
        <v>87</v>
      </c>
      <c r="Y2" s="26" t="s">
        <v>338</v>
      </c>
      <c r="Z2" s="26" t="s">
        <v>88</v>
      </c>
      <c r="AA2" s="26" t="s">
        <v>89</v>
      </c>
      <c r="AB2" s="26" t="s">
        <v>90</v>
      </c>
      <c r="AC2" s="26" t="s">
        <v>91</v>
      </c>
      <c r="AD2" s="26" t="s">
        <v>92</v>
      </c>
      <c r="AE2" s="26" t="s">
        <v>93</v>
      </c>
      <c r="AF2" s="26" t="s">
        <v>94</v>
      </c>
      <c r="AG2" s="26" t="s">
        <v>95</v>
      </c>
      <c r="AH2" s="26" t="s">
        <v>98</v>
      </c>
      <c r="AI2" s="26" t="s">
        <v>96</v>
      </c>
      <c r="AJ2" s="26" t="s">
        <v>97</v>
      </c>
      <c r="AK2" s="26" t="s">
        <v>99</v>
      </c>
      <c r="AL2" s="26" t="s">
        <v>100</v>
      </c>
      <c r="AM2" s="26" t="s">
        <v>101</v>
      </c>
      <c r="AN2" s="26" t="s">
        <v>102</v>
      </c>
      <c r="AO2" s="26" t="s">
        <v>103</v>
      </c>
      <c r="AP2" s="26" t="s">
        <v>104</v>
      </c>
      <c r="AQ2" s="26" t="s">
        <v>105</v>
      </c>
      <c r="AR2" s="26" t="s">
        <v>106</v>
      </c>
      <c r="AS2" s="26" t="s">
        <v>107</v>
      </c>
      <c r="AT2" s="26" t="s">
        <v>108</v>
      </c>
      <c r="AU2" s="26" t="s">
        <v>109</v>
      </c>
      <c r="AV2" s="26" t="s">
        <v>110</v>
      </c>
      <c r="AW2" s="26" t="s">
        <v>111</v>
      </c>
      <c r="AX2" s="26" t="s">
        <v>112</v>
      </c>
      <c r="AY2" s="26" t="s">
        <v>113</v>
      </c>
      <c r="AZ2" s="26" t="s">
        <v>114</v>
      </c>
      <c r="BA2" s="26" t="s">
        <v>115</v>
      </c>
      <c r="BB2" s="26" t="s">
        <v>116</v>
      </c>
      <c r="BC2" s="26" t="s">
        <v>117</v>
      </c>
      <c r="BD2" s="26" t="s">
        <v>118</v>
      </c>
      <c r="BE2" s="26" t="s">
        <v>119</v>
      </c>
      <c r="BF2" s="26" t="s">
        <v>120</v>
      </c>
      <c r="BG2" s="26" t="s">
        <v>121</v>
      </c>
      <c r="BH2" s="26" t="s">
        <v>122</v>
      </c>
      <c r="BI2" s="26" t="s">
        <v>123</v>
      </c>
      <c r="BJ2" s="26" t="s">
        <v>124</v>
      </c>
      <c r="BK2" s="26" t="s">
        <v>125</v>
      </c>
      <c r="BL2" s="26" t="s">
        <v>126</v>
      </c>
      <c r="BM2" s="26" t="s">
        <v>127</v>
      </c>
      <c r="BN2" s="26" t="s">
        <v>128</v>
      </c>
      <c r="BO2" s="26" t="s">
        <v>130</v>
      </c>
      <c r="BP2" s="26" t="s">
        <v>129</v>
      </c>
      <c r="BQ2" s="26" t="s">
        <v>131</v>
      </c>
      <c r="BR2" s="26" t="s">
        <v>132</v>
      </c>
      <c r="BS2" s="26" t="s">
        <v>133</v>
      </c>
      <c r="BT2" s="26" t="s">
        <v>134</v>
      </c>
      <c r="BU2" s="26" t="s">
        <v>135</v>
      </c>
      <c r="BV2" s="26" t="s">
        <v>136</v>
      </c>
      <c r="BW2" s="26" t="s">
        <v>137</v>
      </c>
      <c r="BX2" s="26" t="s">
        <v>138</v>
      </c>
      <c r="BY2" s="26" t="s">
        <v>139</v>
      </c>
      <c r="BZ2" s="26" t="s">
        <v>140</v>
      </c>
      <c r="CA2" s="26" t="s">
        <v>141</v>
      </c>
      <c r="CB2" s="26" t="s">
        <v>142</v>
      </c>
      <c r="CC2" s="26" t="s">
        <v>143</v>
      </c>
      <c r="CD2" s="26" t="s">
        <v>144</v>
      </c>
      <c r="CE2" s="26" t="s">
        <v>145</v>
      </c>
      <c r="CF2" s="26" t="s">
        <v>146</v>
      </c>
      <c r="CG2" s="26" t="s">
        <v>147</v>
      </c>
      <c r="CH2" s="26" t="s">
        <v>148</v>
      </c>
      <c r="CI2" s="26" t="s">
        <v>149</v>
      </c>
      <c r="CJ2" s="26" t="s">
        <v>150</v>
      </c>
      <c r="CK2" s="26" t="s">
        <v>151</v>
      </c>
      <c r="CL2" s="26" t="s">
        <v>152</v>
      </c>
      <c r="CM2" s="26" t="s">
        <v>153</v>
      </c>
      <c r="CN2" s="26" t="s">
        <v>154</v>
      </c>
      <c r="CO2" s="26" t="s">
        <v>155</v>
      </c>
      <c r="CP2" s="26" t="s">
        <v>156</v>
      </c>
      <c r="CQ2" s="26" t="s">
        <v>157</v>
      </c>
      <c r="CR2" s="26" t="s">
        <v>158</v>
      </c>
      <c r="CS2" s="26" t="s">
        <v>159</v>
      </c>
      <c r="CT2" s="26" t="s">
        <v>160</v>
      </c>
      <c r="CU2" s="26" t="s">
        <v>161</v>
      </c>
      <c r="CV2" s="26" t="s">
        <v>162</v>
      </c>
      <c r="CW2" s="26" t="s">
        <v>163</v>
      </c>
      <c r="CX2" s="26" t="s">
        <v>164</v>
      </c>
      <c r="CY2" s="26" t="s">
        <v>165</v>
      </c>
      <c r="CZ2" s="26" t="s">
        <v>166</v>
      </c>
      <c r="DA2" s="26" t="s">
        <v>167</v>
      </c>
      <c r="DB2" s="26" t="s">
        <v>170</v>
      </c>
      <c r="DC2" s="26" t="s">
        <v>168</v>
      </c>
      <c r="DD2" s="26" t="s">
        <v>169</v>
      </c>
      <c r="DE2" s="26" t="s">
        <v>171</v>
      </c>
      <c r="DF2" s="26" t="s">
        <v>172</v>
      </c>
      <c r="DG2" s="26" t="s">
        <v>173</v>
      </c>
      <c r="DH2" s="26" t="s">
        <v>174</v>
      </c>
      <c r="DI2" s="26" t="s">
        <v>175</v>
      </c>
      <c r="DJ2" s="26" t="s">
        <v>176</v>
      </c>
      <c r="DK2" s="26" t="s">
        <v>177</v>
      </c>
      <c r="DL2" s="26" t="s">
        <v>178</v>
      </c>
      <c r="DM2" s="26" t="s">
        <v>179</v>
      </c>
      <c r="DN2" s="26" t="s">
        <v>180</v>
      </c>
      <c r="DO2" s="26" t="s">
        <v>181</v>
      </c>
      <c r="DP2" s="26" t="s">
        <v>182</v>
      </c>
      <c r="DQ2" s="26" t="s">
        <v>183</v>
      </c>
      <c r="DR2" s="26" t="s">
        <v>184</v>
      </c>
      <c r="DS2" s="26" t="s">
        <v>185</v>
      </c>
      <c r="DT2" s="26" t="s">
        <v>186</v>
      </c>
      <c r="DU2" s="26" t="s">
        <v>187</v>
      </c>
      <c r="DV2" s="26" t="s">
        <v>189</v>
      </c>
      <c r="DW2" s="26" t="s">
        <v>190</v>
      </c>
      <c r="DX2" s="26" t="s">
        <v>188</v>
      </c>
      <c r="DY2" s="26" t="s">
        <v>191</v>
      </c>
      <c r="DZ2" s="26" t="s">
        <v>192</v>
      </c>
      <c r="EA2" s="26" t="s">
        <v>193</v>
      </c>
      <c r="EB2" s="26" t="s">
        <v>194</v>
      </c>
      <c r="EC2" s="26" t="s">
        <v>195</v>
      </c>
      <c r="ED2" s="26" t="s">
        <v>196</v>
      </c>
      <c r="EE2" s="26" t="s">
        <v>197</v>
      </c>
      <c r="EF2" s="26" t="s">
        <v>198</v>
      </c>
      <c r="EG2" s="26" t="s">
        <v>199</v>
      </c>
      <c r="EH2" s="26" t="s">
        <v>200</v>
      </c>
      <c r="EI2" s="26" t="s">
        <v>201</v>
      </c>
      <c r="EJ2" s="26" t="s">
        <v>202</v>
      </c>
      <c r="EK2" s="26" t="s">
        <v>203</v>
      </c>
      <c r="EL2" s="26" t="s">
        <v>204</v>
      </c>
      <c r="EM2" s="26" t="s">
        <v>205</v>
      </c>
      <c r="EN2" s="26" t="s">
        <v>206</v>
      </c>
      <c r="EO2" s="26" t="s">
        <v>207</v>
      </c>
      <c r="EP2" s="26" t="s">
        <v>208</v>
      </c>
      <c r="EQ2" s="26" t="s">
        <v>209</v>
      </c>
      <c r="ER2" s="26" t="s">
        <v>210</v>
      </c>
      <c r="ES2" s="26" t="s">
        <v>211</v>
      </c>
      <c r="ET2" s="26" t="s">
        <v>212</v>
      </c>
      <c r="EU2" s="26" t="s">
        <v>213</v>
      </c>
      <c r="EV2" s="26" t="s">
        <v>214</v>
      </c>
      <c r="EW2" s="26" t="s">
        <v>215</v>
      </c>
      <c r="EX2" s="26" t="s">
        <v>216</v>
      </c>
      <c r="EY2" s="26" t="s">
        <v>217</v>
      </c>
      <c r="EZ2" s="26" t="s">
        <v>218</v>
      </c>
      <c r="FA2" s="26" t="s">
        <v>219</v>
      </c>
      <c r="FB2" s="26" t="s">
        <v>220</v>
      </c>
      <c r="FC2" s="26" t="s">
        <v>221</v>
      </c>
      <c r="FD2" s="26" t="s">
        <v>222</v>
      </c>
      <c r="FE2" s="26" t="s">
        <v>223</v>
      </c>
      <c r="FF2" s="26" t="s">
        <v>224</v>
      </c>
      <c r="FG2" s="26" t="s">
        <v>225</v>
      </c>
      <c r="FH2" s="26" t="s">
        <v>227</v>
      </c>
      <c r="FI2" s="26" t="s">
        <v>226</v>
      </c>
      <c r="FJ2" s="26" t="s">
        <v>228</v>
      </c>
      <c r="FK2" s="26" t="s">
        <v>229</v>
      </c>
      <c r="FL2" s="26" t="s">
        <v>230</v>
      </c>
      <c r="FM2" s="26" t="s">
        <v>231</v>
      </c>
      <c r="FN2" s="26" t="s">
        <v>232</v>
      </c>
      <c r="FO2" s="26" t="s">
        <v>233</v>
      </c>
      <c r="FP2" s="26" t="s">
        <v>234</v>
      </c>
      <c r="FQ2" s="26" t="s">
        <v>235</v>
      </c>
      <c r="FR2" s="26" t="s">
        <v>236</v>
      </c>
      <c r="FS2" s="26" t="s">
        <v>237</v>
      </c>
      <c r="FT2" s="26" t="s">
        <v>238</v>
      </c>
      <c r="FU2" s="26" t="s">
        <v>239</v>
      </c>
      <c r="FV2" s="26" t="s">
        <v>240</v>
      </c>
      <c r="FW2" s="26" t="s">
        <v>241</v>
      </c>
      <c r="FX2" s="26" t="s">
        <v>242</v>
      </c>
      <c r="FY2" s="26" t="s">
        <v>243</v>
      </c>
      <c r="FZ2" s="26" t="s">
        <v>244</v>
      </c>
      <c r="GA2" s="26" t="s">
        <v>245</v>
      </c>
      <c r="GB2" s="26" t="s">
        <v>246</v>
      </c>
      <c r="GC2" s="26" t="s">
        <v>247</v>
      </c>
      <c r="GD2" s="26" t="s">
        <v>248</v>
      </c>
      <c r="GE2" s="26" t="s">
        <v>249</v>
      </c>
      <c r="GF2" s="26" t="s">
        <v>250</v>
      </c>
      <c r="GG2" s="26" t="s">
        <v>251</v>
      </c>
      <c r="GH2" s="26" t="s">
        <v>252</v>
      </c>
      <c r="GI2" s="26" t="s">
        <v>253</v>
      </c>
      <c r="GJ2" s="26" t="s">
        <v>254</v>
      </c>
      <c r="GK2" s="26" t="s">
        <v>255</v>
      </c>
      <c r="GL2" s="26" t="s">
        <v>256</v>
      </c>
      <c r="GM2" s="26" t="s">
        <v>257</v>
      </c>
      <c r="GN2" s="26" t="s">
        <v>258</v>
      </c>
      <c r="GO2" s="26" t="s">
        <v>259</v>
      </c>
      <c r="GP2" s="26" t="s">
        <v>260</v>
      </c>
      <c r="GQ2" s="26" t="s">
        <v>261</v>
      </c>
      <c r="GR2" s="26" t="s">
        <v>262</v>
      </c>
      <c r="GS2" s="26" t="s">
        <v>263</v>
      </c>
      <c r="GT2" s="26" t="s">
        <v>264</v>
      </c>
      <c r="GU2" s="26" t="s">
        <v>265</v>
      </c>
      <c r="GV2" s="26" t="s">
        <v>266</v>
      </c>
      <c r="GW2" s="26" t="s">
        <v>68</v>
      </c>
      <c r="GX2" s="26" t="s">
        <v>69</v>
      </c>
      <c r="GY2" s="26" t="s">
        <v>267</v>
      </c>
      <c r="GZ2" s="26" t="s">
        <v>268</v>
      </c>
      <c r="HA2" s="26" t="s">
        <v>269</v>
      </c>
      <c r="HB2" s="26" t="s">
        <v>270</v>
      </c>
      <c r="HC2" s="26" t="s">
        <v>271</v>
      </c>
      <c r="HD2" s="26" t="s">
        <v>272</v>
      </c>
      <c r="HE2" s="26" t="s">
        <v>273</v>
      </c>
      <c r="HF2" s="26" t="s">
        <v>274</v>
      </c>
      <c r="HG2" s="26" t="s">
        <v>275</v>
      </c>
      <c r="HH2" s="26" t="s">
        <v>276</v>
      </c>
      <c r="HI2" s="26" t="s">
        <v>277</v>
      </c>
      <c r="HJ2" s="26" t="s">
        <v>278</v>
      </c>
      <c r="HK2" s="26" t="s">
        <v>279</v>
      </c>
      <c r="HL2" s="26" t="s">
        <v>280</v>
      </c>
      <c r="HM2" s="26" t="s">
        <v>281</v>
      </c>
      <c r="HN2" s="26" t="s">
        <v>282</v>
      </c>
      <c r="HO2" s="26" t="s">
        <v>283</v>
      </c>
      <c r="HP2" s="26" t="s">
        <v>284</v>
      </c>
      <c r="HQ2" s="26" t="s">
        <v>285</v>
      </c>
      <c r="HR2" s="26" t="s">
        <v>286</v>
      </c>
      <c r="HS2" s="26" t="s">
        <v>287</v>
      </c>
      <c r="HT2" s="26" t="s">
        <v>288</v>
      </c>
      <c r="HU2" s="26" t="s">
        <v>289</v>
      </c>
      <c r="HV2" s="26" t="s">
        <v>290</v>
      </c>
      <c r="HW2" s="26" t="s">
        <v>291</v>
      </c>
      <c r="HX2" s="26" t="s">
        <v>292</v>
      </c>
    </row>
    <row r="3" spans="1:232" ht="44.25" customHeight="1">
      <c r="A3" s="24"/>
      <c r="B3" s="1"/>
      <c r="C3" s="1"/>
      <c r="D3" s="25" t="s">
        <v>334</v>
      </c>
      <c r="E3" s="25"/>
      <c r="F3" s="2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1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</row>
    <row r="4" spans="1:232" ht="57.75" customHeight="1">
      <c r="A4" s="24"/>
      <c r="B4" s="1"/>
      <c r="C4" s="1"/>
      <c r="D4" s="28" t="s">
        <v>49</v>
      </c>
      <c r="E4" s="29" t="s">
        <v>48</v>
      </c>
      <c r="F4" s="29" t="s">
        <v>47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1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</row>
    <row r="5" spans="1:232" ht="12.75">
      <c r="A5" s="12" t="s">
        <v>46</v>
      </c>
      <c r="B5" s="3" t="s">
        <v>45</v>
      </c>
      <c r="C5" s="4" t="s">
        <v>0</v>
      </c>
      <c r="D5" s="30">
        <f>E5+F5</f>
        <v>34805.44799999998</v>
      </c>
      <c r="E5" s="30">
        <f>E8+E15+E26+E28+E31+E33+E35+E37+E39+E41+E43+E45+E47+E49+E51+E53+E55+E57+E59+E61+E63</f>
        <v>34805.44799999998</v>
      </c>
      <c r="F5" s="30">
        <f aca="true" t="shared" si="0" ref="F5:BR5">F8+F15+F26+F28+F31+F33+F35+F37+F39+F41+F43+F45+F47+F49+F51+F53+F55+F57+F59+F61+F63</f>
        <v>0</v>
      </c>
      <c r="G5" s="30">
        <f t="shared" si="0"/>
        <v>259.267</v>
      </c>
      <c r="H5" s="30">
        <f t="shared" si="0"/>
        <v>20.726999999999997</v>
      </c>
      <c r="I5" s="30">
        <f t="shared" si="0"/>
        <v>41.578</v>
      </c>
      <c r="J5" s="30">
        <f t="shared" si="0"/>
        <v>7.359999999999999</v>
      </c>
      <c r="K5" s="30">
        <f t="shared" si="0"/>
        <v>139.781</v>
      </c>
      <c r="L5" s="30">
        <f t="shared" si="0"/>
        <v>3.5199999999999996</v>
      </c>
      <c r="M5" s="30">
        <f t="shared" si="0"/>
        <v>195.678</v>
      </c>
      <c r="N5" s="30">
        <f t="shared" si="0"/>
        <v>180.166</v>
      </c>
      <c r="O5" s="30">
        <f t="shared" si="0"/>
        <v>16.351</v>
      </c>
      <c r="P5" s="30">
        <f t="shared" si="0"/>
        <v>164.54500000000002</v>
      </c>
      <c r="Q5" s="30">
        <f t="shared" si="0"/>
        <v>128.319</v>
      </c>
      <c r="R5" s="30">
        <f t="shared" si="0"/>
        <v>172.138</v>
      </c>
      <c r="S5" s="30">
        <f t="shared" si="0"/>
        <v>188.022</v>
      </c>
      <c r="T5" s="30">
        <f t="shared" si="0"/>
        <v>200.45499999999998</v>
      </c>
      <c r="U5" s="30">
        <f t="shared" si="0"/>
        <v>93.101</v>
      </c>
      <c r="V5" s="30">
        <f t="shared" si="0"/>
        <v>24.381999999999998</v>
      </c>
      <c r="W5" s="30">
        <f t="shared" si="0"/>
        <v>87.706</v>
      </c>
      <c r="X5" s="30">
        <f t="shared" si="0"/>
        <v>9.886</v>
      </c>
      <c r="Y5" s="30">
        <f t="shared" si="0"/>
        <v>0</v>
      </c>
      <c r="Z5" s="30">
        <f t="shared" si="0"/>
        <v>26.759</v>
      </c>
      <c r="AA5" s="30">
        <f t="shared" si="0"/>
        <v>39.097</v>
      </c>
      <c r="AB5" s="30">
        <f t="shared" si="0"/>
        <v>17.192999999999998</v>
      </c>
      <c r="AC5" s="30">
        <f t="shared" si="0"/>
        <v>442.403</v>
      </c>
      <c r="AD5" s="30">
        <f t="shared" si="0"/>
        <v>182.687</v>
      </c>
      <c r="AE5" s="30">
        <f t="shared" si="0"/>
        <v>13.872</v>
      </c>
      <c r="AF5" s="30">
        <f t="shared" si="0"/>
        <v>18.375999999999998</v>
      </c>
      <c r="AG5" s="30">
        <f t="shared" si="0"/>
        <v>9.208</v>
      </c>
      <c r="AH5" s="30">
        <f t="shared" si="0"/>
        <v>18.03</v>
      </c>
      <c r="AI5" s="30">
        <f t="shared" si="0"/>
        <v>186.508</v>
      </c>
      <c r="AJ5" s="30">
        <f t="shared" si="0"/>
        <v>1.647</v>
      </c>
      <c r="AK5" s="30">
        <f t="shared" si="0"/>
        <v>13.966</v>
      </c>
      <c r="AL5" s="30">
        <f t="shared" si="0"/>
        <v>23.153</v>
      </c>
      <c r="AM5" s="30">
        <f t="shared" si="0"/>
        <v>0</v>
      </c>
      <c r="AN5" s="30">
        <f t="shared" si="0"/>
        <v>424.34900000000005</v>
      </c>
      <c r="AO5" s="30">
        <f t="shared" si="0"/>
        <v>22.072</v>
      </c>
      <c r="AP5" s="30">
        <f t="shared" si="0"/>
        <v>119.381</v>
      </c>
      <c r="AQ5" s="30">
        <f t="shared" si="0"/>
        <v>190.72299999999998</v>
      </c>
      <c r="AR5" s="30">
        <f t="shared" si="0"/>
        <v>248.415</v>
      </c>
      <c r="AS5" s="30">
        <f t="shared" si="0"/>
        <v>11.276</v>
      </c>
      <c r="AT5" s="30">
        <f t="shared" si="0"/>
        <v>15.662</v>
      </c>
      <c r="AU5" s="30">
        <f t="shared" si="0"/>
        <v>7.234</v>
      </c>
      <c r="AV5" s="30">
        <f t="shared" si="0"/>
        <v>14.488</v>
      </c>
      <c r="AW5" s="30">
        <f t="shared" si="0"/>
        <v>7.0969999999999995</v>
      </c>
      <c r="AX5" s="30">
        <f t="shared" si="0"/>
        <v>280.80699999999996</v>
      </c>
      <c r="AY5" s="30">
        <f t="shared" si="0"/>
        <v>145.061</v>
      </c>
      <c r="AZ5" s="30">
        <f t="shared" si="0"/>
        <v>15.206</v>
      </c>
      <c r="BA5" s="30">
        <f t="shared" si="0"/>
        <v>119.05699999999999</v>
      </c>
      <c r="BB5" s="30">
        <f t="shared" si="0"/>
        <v>12.303</v>
      </c>
      <c r="BC5" s="30">
        <f t="shared" si="0"/>
        <v>137.208</v>
      </c>
      <c r="BD5" s="30">
        <f t="shared" si="0"/>
        <v>3.7540000000000004</v>
      </c>
      <c r="BE5" s="30">
        <f t="shared" si="0"/>
        <v>8.072</v>
      </c>
      <c r="BF5" s="30">
        <f t="shared" si="0"/>
        <v>4.356</v>
      </c>
      <c r="BG5" s="30">
        <f t="shared" si="0"/>
        <v>19.031</v>
      </c>
      <c r="BH5" s="30">
        <f t="shared" si="0"/>
        <v>139.751</v>
      </c>
      <c r="BI5" s="30">
        <f t="shared" si="0"/>
        <v>118.449</v>
      </c>
      <c r="BJ5" s="30">
        <f t="shared" si="0"/>
        <v>388.28400000000005</v>
      </c>
      <c r="BK5" s="30">
        <f t="shared" si="0"/>
        <v>268.645</v>
      </c>
      <c r="BL5" s="30">
        <f t="shared" si="0"/>
        <v>14.235</v>
      </c>
      <c r="BM5" s="30">
        <f t="shared" si="0"/>
        <v>21.784</v>
      </c>
      <c r="BN5" s="30">
        <f t="shared" si="0"/>
        <v>6.218</v>
      </c>
      <c r="BO5" s="30">
        <f t="shared" si="0"/>
        <v>11.385</v>
      </c>
      <c r="BP5" s="30">
        <f t="shared" si="0"/>
        <v>266.581</v>
      </c>
      <c r="BQ5" s="30">
        <f t="shared" si="0"/>
        <v>636.4380000000001</v>
      </c>
      <c r="BR5" s="30">
        <f t="shared" si="0"/>
        <v>8.363</v>
      </c>
      <c r="BS5" s="30">
        <f aca="true" t="shared" si="1" ref="BS5:ED5">BS8+BS15+BS26+BS28+BS31+BS33+BS35+BS37+BS39+BS41+BS43+BS45+BS47+BS49+BS51+BS53+BS55+BS57+BS59+BS61+BS63</f>
        <v>7.7459999999999996</v>
      </c>
      <c r="BT5" s="30">
        <f t="shared" si="1"/>
        <v>20.301000000000002</v>
      </c>
      <c r="BU5" s="30">
        <f t="shared" si="1"/>
        <v>36.025000000000006</v>
      </c>
      <c r="BV5" s="30">
        <f t="shared" si="1"/>
        <v>19.489</v>
      </c>
      <c r="BW5" s="30">
        <f t="shared" si="1"/>
        <v>329.41900000000004</v>
      </c>
      <c r="BX5" s="30">
        <f t="shared" si="1"/>
        <v>251.925</v>
      </c>
      <c r="BY5" s="30">
        <f t="shared" si="1"/>
        <v>432.642</v>
      </c>
      <c r="BZ5" s="30">
        <f t="shared" si="1"/>
        <v>347.88200000000006</v>
      </c>
      <c r="CA5" s="30">
        <f t="shared" si="1"/>
        <v>13.061</v>
      </c>
      <c r="CB5" s="30">
        <f t="shared" si="1"/>
        <v>168.723</v>
      </c>
      <c r="CC5" s="30">
        <f t="shared" si="1"/>
        <v>19.261</v>
      </c>
      <c r="CD5" s="30">
        <f t="shared" si="1"/>
        <v>6.927999999999999</v>
      </c>
      <c r="CE5" s="30">
        <f t="shared" si="1"/>
        <v>269.659</v>
      </c>
      <c r="CF5" s="30">
        <f t="shared" si="1"/>
        <v>19.320999999999998</v>
      </c>
      <c r="CG5" s="30">
        <f t="shared" si="1"/>
        <v>19.899</v>
      </c>
      <c r="CH5" s="30">
        <f t="shared" si="1"/>
        <v>337.129</v>
      </c>
      <c r="CI5" s="30">
        <f t="shared" si="1"/>
        <v>14.532</v>
      </c>
      <c r="CJ5" s="30">
        <f t="shared" si="1"/>
        <v>393.58299999999997</v>
      </c>
      <c r="CK5" s="30">
        <f t="shared" si="1"/>
        <v>34.724999999999994</v>
      </c>
      <c r="CL5" s="30">
        <f t="shared" si="1"/>
        <v>126.8</v>
      </c>
      <c r="CM5" s="30">
        <f t="shared" si="1"/>
        <v>294.50800000000004</v>
      </c>
      <c r="CN5" s="30">
        <f t="shared" si="1"/>
        <v>34.086</v>
      </c>
      <c r="CO5" s="30">
        <f t="shared" si="1"/>
        <v>21.774</v>
      </c>
      <c r="CP5" s="30">
        <f t="shared" si="1"/>
        <v>356.872</v>
      </c>
      <c r="CQ5" s="30">
        <f t="shared" si="1"/>
        <v>274.094</v>
      </c>
      <c r="CR5" s="30">
        <f t="shared" si="1"/>
        <v>233.07999999999998</v>
      </c>
      <c r="CS5" s="30">
        <f t="shared" si="1"/>
        <v>203.95899999999997</v>
      </c>
      <c r="CT5" s="30">
        <f t="shared" si="1"/>
        <v>264.752</v>
      </c>
      <c r="CU5" s="30">
        <f t="shared" si="1"/>
        <v>52.805</v>
      </c>
      <c r="CV5" s="30">
        <f t="shared" si="1"/>
        <v>98.67999999999999</v>
      </c>
      <c r="CW5" s="30">
        <f t="shared" si="1"/>
        <v>414.44599999999997</v>
      </c>
      <c r="CX5" s="30">
        <f t="shared" si="1"/>
        <v>143.583</v>
      </c>
      <c r="CY5" s="30">
        <f t="shared" si="1"/>
        <v>17.585</v>
      </c>
      <c r="CZ5" s="30">
        <f t="shared" si="1"/>
        <v>136.59000000000003</v>
      </c>
      <c r="DA5" s="30">
        <f t="shared" si="1"/>
        <v>187.648</v>
      </c>
      <c r="DB5" s="30">
        <f t="shared" si="1"/>
        <v>198.161</v>
      </c>
      <c r="DC5" s="30">
        <f t="shared" si="1"/>
        <v>280.114</v>
      </c>
      <c r="DD5" s="30">
        <f t="shared" si="1"/>
        <v>226.931</v>
      </c>
      <c r="DE5" s="30">
        <f t="shared" si="1"/>
        <v>127.634</v>
      </c>
      <c r="DF5" s="30">
        <f t="shared" si="1"/>
        <v>136.17600000000002</v>
      </c>
      <c r="DG5" s="30">
        <f t="shared" si="1"/>
        <v>931.636</v>
      </c>
      <c r="DH5" s="30">
        <f t="shared" si="1"/>
        <v>88.34700000000001</v>
      </c>
      <c r="DI5" s="30">
        <f t="shared" si="1"/>
        <v>868.0849999999998</v>
      </c>
      <c r="DJ5" s="30">
        <f t="shared" si="1"/>
        <v>15.719000000000001</v>
      </c>
      <c r="DK5" s="30">
        <f t="shared" si="1"/>
        <v>1507.7320000000002</v>
      </c>
      <c r="DL5" s="30">
        <f t="shared" si="1"/>
        <v>86.957</v>
      </c>
      <c r="DM5" s="30">
        <f t="shared" si="1"/>
        <v>241.73000000000002</v>
      </c>
      <c r="DN5" s="30">
        <f t="shared" si="1"/>
        <v>4.411</v>
      </c>
      <c r="DO5" s="30">
        <f t="shared" si="1"/>
        <v>53.647999999999996</v>
      </c>
      <c r="DP5" s="30">
        <f t="shared" si="1"/>
        <v>21.413</v>
      </c>
      <c r="DQ5" s="30">
        <f t="shared" si="1"/>
        <v>278.639</v>
      </c>
      <c r="DR5" s="30">
        <f t="shared" si="1"/>
        <v>98.809</v>
      </c>
      <c r="DS5" s="30">
        <f t="shared" si="1"/>
        <v>788.0219999999999</v>
      </c>
      <c r="DT5" s="30">
        <f t="shared" si="1"/>
        <v>756.6839999999999</v>
      </c>
      <c r="DU5" s="30">
        <f t="shared" si="1"/>
        <v>192.28100000000003</v>
      </c>
      <c r="DV5" s="30">
        <f t="shared" si="1"/>
        <v>39.107</v>
      </c>
      <c r="DW5" s="30">
        <f t="shared" si="1"/>
        <v>714.2629999999999</v>
      </c>
      <c r="DX5" s="30">
        <f t="shared" si="1"/>
        <v>1510.2730000000001</v>
      </c>
      <c r="DY5" s="30">
        <f t="shared" si="1"/>
        <v>48.42800000000001</v>
      </c>
      <c r="DZ5" s="30">
        <f t="shared" si="1"/>
        <v>71.432</v>
      </c>
      <c r="EA5" s="30">
        <f t="shared" si="1"/>
        <v>74.58099999999999</v>
      </c>
      <c r="EB5" s="30">
        <f t="shared" si="1"/>
        <v>30.717000000000002</v>
      </c>
      <c r="EC5" s="30">
        <f t="shared" si="1"/>
        <v>77.315</v>
      </c>
      <c r="ED5" s="30">
        <f t="shared" si="1"/>
        <v>0</v>
      </c>
      <c r="EE5" s="30">
        <f aca="true" t="shared" si="2" ref="EE5:GP5">EE8+EE15+EE26+EE28+EE31+EE33+EE35+EE37+EE39+EE41+EE43+EE45+EE47+EE49+EE51+EE53+EE55+EE57+EE59+EE61+EE63</f>
        <v>42.171</v>
      </c>
      <c r="EF5" s="30">
        <f t="shared" si="2"/>
        <v>47.416</v>
      </c>
      <c r="EG5" s="30">
        <f t="shared" si="2"/>
        <v>18.878</v>
      </c>
      <c r="EH5" s="30">
        <f t="shared" si="2"/>
        <v>46.758</v>
      </c>
      <c r="EI5" s="30">
        <f t="shared" si="2"/>
        <v>41.983000000000004</v>
      </c>
      <c r="EJ5" s="30">
        <f t="shared" si="2"/>
        <v>129.88500000000002</v>
      </c>
      <c r="EK5" s="30">
        <f t="shared" si="2"/>
        <v>30.173</v>
      </c>
      <c r="EL5" s="30">
        <f t="shared" si="2"/>
        <v>33.941</v>
      </c>
      <c r="EM5" s="30">
        <f t="shared" si="2"/>
        <v>73.474</v>
      </c>
      <c r="EN5" s="30">
        <f t="shared" si="2"/>
        <v>23.201</v>
      </c>
      <c r="EO5" s="30">
        <f t="shared" si="2"/>
        <v>48.534000000000006</v>
      </c>
      <c r="EP5" s="30">
        <f t="shared" si="2"/>
        <v>7.189</v>
      </c>
      <c r="EQ5" s="30">
        <f t="shared" si="2"/>
        <v>110.367</v>
      </c>
      <c r="ER5" s="30">
        <f t="shared" si="2"/>
        <v>266.316</v>
      </c>
      <c r="ES5" s="30">
        <f t="shared" si="2"/>
        <v>466.1115</v>
      </c>
      <c r="ET5" s="30">
        <f t="shared" si="2"/>
        <v>303.2540000000001</v>
      </c>
      <c r="EU5" s="30">
        <f t="shared" si="2"/>
        <v>261.51699999999994</v>
      </c>
      <c r="EV5" s="30">
        <f t="shared" si="2"/>
        <v>239.971</v>
      </c>
      <c r="EW5" s="30">
        <f t="shared" si="2"/>
        <v>22.977999999999998</v>
      </c>
      <c r="EX5" s="30">
        <f t="shared" si="2"/>
        <v>250.179</v>
      </c>
      <c r="EY5" s="30">
        <f t="shared" si="2"/>
        <v>458.052</v>
      </c>
      <c r="EZ5" s="30">
        <f t="shared" si="2"/>
        <v>216.656</v>
      </c>
      <c r="FA5" s="30">
        <f t="shared" si="2"/>
        <v>209.042</v>
      </c>
      <c r="FB5" s="30">
        <f t="shared" si="2"/>
        <v>200.017</v>
      </c>
      <c r="FC5" s="30">
        <f t="shared" si="2"/>
        <v>193.03799999999998</v>
      </c>
      <c r="FD5" s="30">
        <f t="shared" si="2"/>
        <v>172.06199999999998</v>
      </c>
      <c r="FE5" s="30">
        <f t="shared" si="2"/>
        <v>20.201</v>
      </c>
      <c r="FF5" s="30">
        <f t="shared" si="2"/>
        <v>377.823</v>
      </c>
      <c r="FG5" s="30">
        <f t="shared" si="2"/>
        <v>324.14000000000004</v>
      </c>
      <c r="FH5" s="30">
        <f t="shared" si="2"/>
        <v>781.787</v>
      </c>
      <c r="FI5" s="30">
        <f t="shared" si="2"/>
        <v>15.24</v>
      </c>
      <c r="FJ5" s="30">
        <f t="shared" si="2"/>
        <v>460.997</v>
      </c>
      <c r="FK5" s="30">
        <f t="shared" si="2"/>
        <v>0</v>
      </c>
      <c r="FL5" s="30">
        <f t="shared" si="2"/>
        <v>186.97699999999998</v>
      </c>
      <c r="FM5" s="30">
        <f t="shared" si="2"/>
        <v>121.25999999999999</v>
      </c>
      <c r="FN5" s="30">
        <f t="shared" si="2"/>
        <v>172.66799999999998</v>
      </c>
      <c r="FO5" s="30">
        <f t="shared" si="2"/>
        <v>269.589</v>
      </c>
      <c r="FP5" s="30">
        <f t="shared" si="2"/>
        <v>11.972</v>
      </c>
      <c r="FQ5" s="30">
        <f t="shared" si="2"/>
        <v>14.707</v>
      </c>
      <c r="FR5" s="30">
        <f t="shared" si="2"/>
        <v>196.727</v>
      </c>
      <c r="FS5" s="30">
        <f t="shared" si="2"/>
        <v>12.888</v>
      </c>
      <c r="FT5" s="30">
        <f t="shared" si="2"/>
        <v>8.554</v>
      </c>
      <c r="FU5" s="30">
        <f t="shared" si="2"/>
        <v>11.943999999999999</v>
      </c>
      <c r="FV5" s="30">
        <f t="shared" si="2"/>
        <v>5.7989999999999995</v>
      </c>
      <c r="FW5" s="30">
        <f t="shared" si="2"/>
        <v>157.761</v>
      </c>
      <c r="FX5" s="30">
        <f t="shared" si="2"/>
        <v>249.423</v>
      </c>
      <c r="FY5" s="30">
        <f t="shared" si="2"/>
        <v>109.569</v>
      </c>
      <c r="FZ5" s="30">
        <f t="shared" si="2"/>
        <v>15.776</v>
      </c>
      <c r="GA5" s="30">
        <f t="shared" si="2"/>
        <v>208.6865</v>
      </c>
      <c r="GB5" s="30">
        <f t="shared" si="2"/>
        <v>38.87599999999999</v>
      </c>
      <c r="GC5" s="30">
        <f t="shared" si="2"/>
        <v>214.21700000000004</v>
      </c>
      <c r="GD5" s="30">
        <f t="shared" si="2"/>
        <v>233.21699999999998</v>
      </c>
      <c r="GE5" s="30">
        <f t="shared" si="2"/>
        <v>10.837</v>
      </c>
      <c r="GF5" s="30">
        <f t="shared" si="2"/>
        <v>16.52</v>
      </c>
      <c r="GG5" s="30">
        <f t="shared" si="2"/>
        <v>7.146</v>
      </c>
      <c r="GH5" s="30">
        <f t="shared" si="2"/>
        <v>14.149000000000001</v>
      </c>
      <c r="GI5" s="30">
        <f t="shared" si="2"/>
        <v>108.965</v>
      </c>
      <c r="GJ5" s="30">
        <f t="shared" si="2"/>
        <v>125.141</v>
      </c>
      <c r="GK5" s="30">
        <f t="shared" si="2"/>
        <v>45.181</v>
      </c>
      <c r="GL5" s="30">
        <f t="shared" si="2"/>
        <v>378.629</v>
      </c>
      <c r="GM5" s="30">
        <f t="shared" si="2"/>
        <v>101.384</v>
      </c>
      <c r="GN5" s="30">
        <f t="shared" si="2"/>
        <v>213.357</v>
      </c>
      <c r="GO5" s="30">
        <f t="shared" si="2"/>
        <v>29.581</v>
      </c>
      <c r="GP5" s="30">
        <f t="shared" si="2"/>
        <v>21.643</v>
      </c>
      <c r="GQ5" s="30">
        <f aca="true" t="shared" si="3" ref="GQ5:HX5">GQ8+GQ15+GQ26+GQ28+GQ31+GQ33+GQ35+GQ37+GQ39+GQ41+GQ43+GQ45+GQ47+GQ49+GQ51+GQ53+GQ55+GQ57+GQ59+GQ61+GQ63</f>
        <v>115.811</v>
      </c>
      <c r="GR5" s="30">
        <f t="shared" si="3"/>
        <v>12.572999999999999</v>
      </c>
      <c r="GS5" s="30">
        <f t="shared" si="3"/>
        <v>8.623999999999999</v>
      </c>
      <c r="GT5" s="30">
        <f t="shared" si="3"/>
        <v>320.633</v>
      </c>
      <c r="GU5" s="30">
        <f t="shared" si="3"/>
        <v>12.668</v>
      </c>
      <c r="GV5" s="30">
        <f t="shared" si="3"/>
        <v>169.753</v>
      </c>
      <c r="GW5" s="30">
        <f t="shared" si="3"/>
        <v>565.4209999999999</v>
      </c>
      <c r="GX5" s="30">
        <f t="shared" si="3"/>
        <v>17.637</v>
      </c>
      <c r="GY5" s="30">
        <f t="shared" si="3"/>
        <v>3.715</v>
      </c>
      <c r="GZ5" s="30">
        <f t="shared" si="3"/>
        <v>5.5120000000000005</v>
      </c>
      <c r="HA5" s="30">
        <f t="shared" si="3"/>
        <v>12.914000000000001</v>
      </c>
      <c r="HB5" s="30">
        <f t="shared" si="3"/>
        <v>4.554</v>
      </c>
      <c r="HC5" s="30">
        <f t="shared" si="3"/>
        <v>4.243</v>
      </c>
      <c r="HD5" s="30">
        <f t="shared" si="3"/>
        <v>129.561</v>
      </c>
      <c r="HE5" s="30">
        <f t="shared" si="3"/>
        <v>122.04600000000002</v>
      </c>
      <c r="HF5" s="30">
        <f t="shared" si="3"/>
        <v>169.761</v>
      </c>
      <c r="HG5" s="30">
        <f t="shared" si="3"/>
        <v>419.47</v>
      </c>
      <c r="HH5" s="30">
        <f t="shared" si="3"/>
        <v>129.61599999999999</v>
      </c>
      <c r="HI5" s="30">
        <f t="shared" si="3"/>
        <v>180.64100000000002</v>
      </c>
      <c r="HJ5" s="30">
        <f t="shared" si="3"/>
        <v>206.13000000000002</v>
      </c>
      <c r="HK5" s="30">
        <f t="shared" si="3"/>
        <v>1.851</v>
      </c>
      <c r="HL5" s="30">
        <f t="shared" si="3"/>
        <v>27.772000000000002</v>
      </c>
      <c r="HM5" s="30">
        <f t="shared" si="3"/>
        <v>203.069</v>
      </c>
      <c r="HN5" s="30">
        <f t="shared" si="3"/>
        <v>32.861</v>
      </c>
      <c r="HO5" s="30">
        <f t="shared" si="3"/>
        <v>206.956</v>
      </c>
      <c r="HP5" s="30">
        <f t="shared" si="3"/>
        <v>105.66</v>
      </c>
      <c r="HQ5" s="30">
        <f t="shared" si="3"/>
        <v>7.103</v>
      </c>
      <c r="HR5" s="30">
        <f t="shared" si="3"/>
        <v>22.746</v>
      </c>
      <c r="HS5" s="30">
        <f t="shared" si="3"/>
        <v>6.529</v>
      </c>
      <c r="HT5" s="30">
        <f t="shared" si="3"/>
        <v>4.189</v>
      </c>
      <c r="HU5" s="30">
        <f t="shared" si="3"/>
        <v>19.774</v>
      </c>
      <c r="HV5" s="30">
        <f t="shared" si="3"/>
        <v>289.704</v>
      </c>
      <c r="HW5" s="30">
        <f t="shared" si="3"/>
        <v>123.477</v>
      </c>
      <c r="HX5" s="30">
        <f t="shared" si="3"/>
        <v>251.656</v>
      </c>
    </row>
    <row r="6" spans="1:232" ht="18" customHeight="1">
      <c r="A6" s="2">
        <v>1</v>
      </c>
      <c r="B6" s="3" t="s">
        <v>44</v>
      </c>
      <c r="C6" s="4" t="s">
        <v>54</v>
      </c>
      <c r="D6" s="31">
        <f>E6+F6</f>
        <v>5</v>
      </c>
      <c r="E6" s="31">
        <f>SUM(G6:HX6)</f>
        <v>5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>
        <v>1</v>
      </c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>
        <v>1</v>
      </c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>
        <v>1</v>
      </c>
      <c r="FA6" s="31"/>
      <c r="FB6" s="31"/>
      <c r="FC6" s="31"/>
      <c r="FD6" s="31"/>
      <c r="FE6" s="31"/>
      <c r="FF6" s="31">
        <v>1</v>
      </c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>
        <v>1</v>
      </c>
      <c r="HX6" s="31"/>
    </row>
    <row r="7" spans="1:232" ht="12.75" customHeight="1">
      <c r="A7" s="2"/>
      <c r="B7" s="3"/>
      <c r="C7" s="4" t="s">
        <v>11</v>
      </c>
      <c r="D7" s="31">
        <f aca="true" t="shared" si="4" ref="D7:D13">E7+F7</f>
        <v>0.56</v>
      </c>
      <c r="E7" s="31">
        <f aca="true" t="shared" si="5" ref="E7:BQ7">E9+E11</f>
        <v>0.56</v>
      </c>
      <c r="F7" s="31">
        <f>F9+F11</f>
        <v>0</v>
      </c>
      <c r="G7" s="31">
        <f t="shared" si="5"/>
        <v>0</v>
      </c>
      <c r="H7" s="31">
        <f t="shared" si="5"/>
        <v>0</v>
      </c>
      <c r="I7" s="31">
        <f t="shared" si="5"/>
        <v>0</v>
      </c>
      <c r="J7" s="31">
        <f t="shared" si="5"/>
        <v>0</v>
      </c>
      <c r="K7" s="31">
        <f>K9+K11</f>
        <v>0</v>
      </c>
      <c r="L7" s="31">
        <f t="shared" si="5"/>
        <v>0</v>
      </c>
      <c r="M7" s="31">
        <f t="shared" si="5"/>
        <v>0</v>
      </c>
      <c r="N7" s="31">
        <f t="shared" si="5"/>
        <v>0</v>
      </c>
      <c r="O7" s="31">
        <f t="shared" si="5"/>
        <v>0</v>
      </c>
      <c r="P7" s="31">
        <f t="shared" si="5"/>
        <v>0</v>
      </c>
      <c r="Q7" s="31">
        <f t="shared" si="5"/>
        <v>0</v>
      </c>
      <c r="R7" s="31">
        <f t="shared" si="5"/>
        <v>0</v>
      </c>
      <c r="S7" s="31">
        <f t="shared" si="5"/>
        <v>0</v>
      </c>
      <c r="T7" s="31">
        <f t="shared" si="5"/>
        <v>0</v>
      </c>
      <c r="U7" s="31">
        <f t="shared" si="5"/>
        <v>0</v>
      </c>
      <c r="V7" s="31">
        <f t="shared" si="5"/>
        <v>0</v>
      </c>
      <c r="W7" s="31">
        <f t="shared" si="5"/>
        <v>0</v>
      </c>
      <c r="X7" s="31">
        <f t="shared" si="5"/>
        <v>0</v>
      </c>
      <c r="Y7" s="31">
        <f>Y9+Y11</f>
        <v>0</v>
      </c>
      <c r="Z7" s="31">
        <f>Z9+Z11</f>
        <v>0</v>
      </c>
      <c r="AA7" s="31">
        <f t="shared" si="5"/>
        <v>0</v>
      </c>
      <c r="AB7" s="31">
        <f t="shared" si="5"/>
        <v>0</v>
      </c>
      <c r="AC7" s="31">
        <f t="shared" si="5"/>
        <v>0</v>
      </c>
      <c r="AD7" s="31">
        <f t="shared" si="5"/>
        <v>0</v>
      </c>
      <c r="AE7" s="31">
        <f t="shared" si="5"/>
        <v>0</v>
      </c>
      <c r="AF7" s="31">
        <f t="shared" si="5"/>
        <v>0</v>
      </c>
      <c r="AG7" s="31">
        <f t="shared" si="5"/>
        <v>0</v>
      </c>
      <c r="AH7" s="31">
        <f t="shared" si="5"/>
        <v>0</v>
      </c>
      <c r="AI7" s="31">
        <f t="shared" si="5"/>
        <v>0</v>
      </c>
      <c r="AJ7" s="31">
        <f t="shared" si="5"/>
        <v>0</v>
      </c>
      <c r="AK7" s="31">
        <f t="shared" si="5"/>
        <v>0</v>
      </c>
      <c r="AL7" s="31">
        <f t="shared" si="5"/>
        <v>0</v>
      </c>
      <c r="AM7" s="31">
        <f t="shared" si="5"/>
        <v>0</v>
      </c>
      <c r="AN7" s="31">
        <f t="shared" si="5"/>
        <v>0</v>
      </c>
      <c r="AO7" s="31">
        <f t="shared" si="5"/>
        <v>0</v>
      </c>
      <c r="AP7" s="31">
        <f t="shared" si="5"/>
        <v>0</v>
      </c>
      <c r="AQ7" s="31">
        <f t="shared" si="5"/>
        <v>0</v>
      </c>
      <c r="AR7" s="31">
        <f t="shared" si="5"/>
        <v>0</v>
      </c>
      <c r="AS7" s="31">
        <f t="shared" si="5"/>
        <v>0</v>
      </c>
      <c r="AT7" s="31">
        <f t="shared" si="5"/>
        <v>0</v>
      </c>
      <c r="AU7" s="31">
        <f t="shared" si="5"/>
        <v>0</v>
      </c>
      <c r="AV7" s="31">
        <f t="shared" si="5"/>
        <v>0</v>
      </c>
      <c r="AW7" s="31">
        <f t="shared" si="5"/>
        <v>0</v>
      </c>
      <c r="AX7" s="31">
        <f t="shared" si="5"/>
        <v>0</v>
      </c>
      <c r="AY7" s="31">
        <f t="shared" si="5"/>
        <v>0</v>
      </c>
      <c r="AZ7" s="31">
        <f t="shared" si="5"/>
        <v>0</v>
      </c>
      <c r="BA7" s="31">
        <f t="shared" si="5"/>
        <v>0</v>
      </c>
      <c r="BB7" s="31">
        <f t="shared" si="5"/>
        <v>0</v>
      </c>
      <c r="BC7" s="31">
        <f t="shared" si="5"/>
        <v>0</v>
      </c>
      <c r="BD7" s="31">
        <f t="shared" si="5"/>
        <v>0</v>
      </c>
      <c r="BE7" s="31">
        <f t="shared" si="5"/>
        <v>0</v>
      </c>
      <c r="BF7" s="31">
        <f t="shared" si="5"/>
        <v>0</v>
      </c>
      <c r="BG7" s="31">
        <f t="shared" si="5"/>
        <v>0</v>
      </c>
      <c r="BH7" s="31">
        <f t="shared" si="5"/>
        <v>0</v>
      </c>
      <c r="BI7" s="31">
        <f t="shared" si="5"/>
        <v>0</v>
      </c>
      <c r="BJ7" s="31">
        <f t="shared" si="5"/>
        <v>0</v>
      </c>
      <c r="BK7" s="31">
        <f t="shared" si="5"/>
        <v>0</v>
      </c>
      <c r="BL7" s="31">
        <f t="shared" si="5"/>
        <v>0</v>
      </c>
      <c r="BM7" s="31">
        <f t="shared" si="5"/>
        <v>0</v>
      </c>
      <c r="BN7" s="31">
        <f t="shared" si="5"/>
        <v>0</v>
      </c>
      <c r="BO7" s="31">
        <f t="shared" si="5"/>
        <v>0</v>
      </c>
      <c r="BP7" s="31">
        <f t="shared" si="5"/>
        <v>0</v>
      </c>
      <c r="BQ7" s="31">
        <f t="shared" si="5"/>
        <v>0</v>
      </c>
      <c r="BR7" s="31">
        <f aca="true" t="shared" si="6" ref="BR7:EC7">BR9+BR11</f>
        <v>0</v>
      </c>
      <c r="BS7" s="31">
        <f t="shared" si="6"/>
        <v>0</v>
      </c>
      <c r="BT7" s="31">
        <f t="shared" si="6"/>
        <v>0</v>
      </c>
      <c r="BU7" s="31">
        <f t="shared" si="6"/>
        <v>0</v>
      </c>
      <c r="BV7" s="31">
        <f t="shared" si="6"/>
        <v>0</v>
      </c>
      <c r="BW7" s="31">
        <f t="shared" si="6"/>
        <v>0</v>
      </c>
      <c r="BX7" s="31">
        <f t="shared" si="6"/>
        <v>0</v>
      </c>
      <c r="BY7" s="31">
        <f t="shared" si="6"/>
        <v>0</v>
      </c>
      <c r="BZ7" s="31">
        <f t="shared" si="6"/>
        <v>0</v>
      </c>
      <c r="CA7" s="31">
        <f t="shared" si="6"/>
        <v>0</v>
      </c>
      <c r="CB7" s="31">
        <f t="shared" si="6"/>
        <v>0</v>
      </c>
      <c r="CC7" s="31">
        <f t="shared" si="6"/>
        <v>0</v>
      </c>
      <c r="CD7" s="31">
        <f t="shared" si="6"/>
        <v>0</v>
      </c>
      <c r="CE7" s="31">
        <f t="shared" si="6"/>
        <v>0</v>
      </c>
      <c r="CF7" s="31">
        <f t="shared" si="6"/>
        <v>0</v>
      </c>
      <c r="CG7" s="31">
        <f t="shared" si="6"/>
        <v>0</v>
      </c>
      <c r="CH7" s="31">
        <f t="shared" si="6"/>
        <v>0</v>
      </c>
      <c r="CI7" s="31">
        <f t="shared" si="6"/>
        <v>0</v>
      </c>
      <c r="CJ7" s="31">
        <f t="shared" si="6"/>
        <v>0</v>
      </c>
      <c r="CK7" s="31">
        <f t="shared" si="6"/>
        <v>0</v>
      </c>
      <c r="CL7" s="31">
        <f t="shared" si="6"/>
        <v>0</v>
      </c>
      <c r="CM7" s="31">
        <f t="shared" si="6"/>
        <v>0</v>
      </c>
      <c r="CN7" s="31">
        <f t="shared" si="6"/>
        <v>0</v>
      </c>
      <c r="CO7" s="31">
        <f t="shared" si="6"/>
        <v>0</v>
      </c>
      <c r="CP7" s="31">
        <f t="shared" si="6"/>
        <v>0</v>
      </c>
      <c r="CQ7" s="31">
        <f t="shared" si="6"/>
        <v>0</v>
      </c>
      <c r="CR7" s="31">
        <f t="shared" si="6"/>
        <v>0</v>
      </c>
      <c r="CS7" s="31">
        <f t="shared" si="6"/>
        <v>0</v>
      </c>
      <c r="CT7" s="31">
        <f t="shared" si="6"/>
        <v>0</v>
      </c>
      <c r="CU7" s="31">
        <f t="shared" si="6"/>
        <v>0</v>
      </c>
      <c r="CV7" s="31">
        <f t="shared" si="6"/>
        <v>0</v>
      </c>
      <c r="CW7" s="31">
        <f t="shared" si="6"/>
        <v>0</v>
      </c>
      <c r="CX7" s="31">
        <f t="shared" si="6"/>
        <v>0</v>
      </c>
      <c r="CY7" s="31">
        <f t="shared" si="6"/>
        <v>0</v>
      </c>
      <c r="CZ7" s="31">
        <f t="shared" si="6"/>
        <v>0</v>
      </c>
      <c r="DA7" s="31">
        <f t="shared" si="6"/>
        <v>0</v>
      </c>
      <c r="DB7" s="31">
        <f t="shared" si="6"/>
        <v>0.15</v>
      </c>
      <c r="DC7" s="31">
        <f t="shared" si="6"/>
        <v>0</v>
      </c>
      <c r="DD7" s="31">
        <f t="shared" si="6"/>
        <v>0</v>
      </c>
      <c r="DE7" s="31">
        <f t="shared" si="6"/>
        <v>0</v>
      </c>
      <c r="DF7" s="31">
        <f t="shared" si="6"/>
        <v>0</v>
      </c>
      <c r="DG7" s="31">
        <f t="shared" si="6"/>
        <v>0</v>
      </c>
      <c r="DH7" s="31">
        <f t="shared" si="6"/>
        <v>0</v>
      </c>
      <c r="DI7" s="31">
        <f t="shared" si="6"/>
        <v>0</v>
      </c>
      <c r="DJ7" s="31">
        <f t="shared" si="6"/>
        <v>0</v>
      </c>
      <c r="DK7" s="31">
        <f t="shared" si="6"/>
        <v>0</v>
      </c>
      <c r="DL7" s="31">
        <f t="shared" si="6"/>
        <v>0</v>
      </c>
      <c r="DM7" s="31">
        <f t="shared" si="6"/>
        <v>0</v>
      </c>
      <c r="DN7" s="31">
        <f t="shared" si="6"/>
        <v>0</v>
      </c>
      <c r="DO7" s="31">
        <f t="shared" si="6"/>
        <v>0</v>
      </c>
      <c r="DP7" s="31">
        <f t="shared" si="6"/>
        <v>0</v>
      </c>
      <c r="DQ7" s="31">
        <f t="shared" si="6"/>
        <v>0</v>
      </c>
      <c r="DR7" s="31">
        <f t="shared" si="6"/>
        <v>0</v>
      </c>
      <c r="DS7" s="31">
        <f t="shared" si="6"/>
        <v>0</v>
      </c>
      <c r="DT7" s="31">
        <f t="shared" si="6"/>
        <v>0</v>
      </c>
      <c r="DU7" s="31">
        <f t="shared" si="6"/>
        <v>0</v>
      </c>
      <c r="DV7" s="31">
        <f t="shared" si="6"/>
        <v>0</v>
      </c>
      <c r="DW7" s="31">
        <f t="shared" si="6"/>
        <v>0</v>
      </c>
      <c r="DX7" s="31">
        <f t="shared" si="6"/>
        <v>0.138</v>
      </c>
      <c r="DY7" s="31">
        <f t="shared" si="6"/>
        <v>0</v>
      </c>
      <c r="DZ7" s="31">
        <f t="shared" si="6"/>
        <v>0</v>
      </c>
      <c r="EA7" s="31">
        <f t="shared" si="6"/>
        <v>0</v>
      </c>
      <c r="EB7" s="31">
        <f t="shared" si="6"/>
        <v>0</v>
      </c>
      <c r="EC7" s="31">
        <f t="shared" si="6"/>
        <v>0</v>
      </c>
      <c r="ED7" s="31">
        <f aca="true" t="shared" si="7" ref="ED7:GO7">ED9+ED11</f>
        <v>0</v>
      </c>
      <c r="EE7" s="31">
        <f t="shared" si="7"/>
        <v>0</v>
      </c>
      <c r="EF7" s="31">
        <f t="shared" si="7"/>
        <v>0</v>
      </c>
      <c r="EG7" s="31">
        <f t="shared" si="7"/>
        <v>0</v>
      </c>
      <c r="EH7" s="31">
        <f t="shared" si="7"/>
        <v>0</v>
      </c>
      <c r="EI7" s="31">
        <f t="shared" si="7"/>
        <v>0</v>
      </c>
      <c r="EJ7" s="31">
        <f t="shared" si="7"/>
        <v>0</v>
      </c>
      <c r="EK7" s="31">
        <f t="shared" si="7"/>
        <v>0</v>
      </c>
      <c r="EL7" s="31">
        <f t="shared" si="7"/>
        <v>0</v>
      </c>
      <c r="EM7" s="31">
        <f t="shared" si="7"/>
        <v>0</v>
      </c>
      <c r="EN7" s="31">
        <f t="shared" si="7"/>
        <v>0</v>
      </c>
      <c r="EO7" s="31">
        <f t="shared" si="7"/>
        <v>0</v>
      </c>
      <c r="EP7" s="31">
        <f t="shared" si="7"/>
        <v>0</v>
      </c>
      <c r="EQ7" s="31">
        <f t="shared" si="7"/>
        <v>0</v>
      </c>
      <c r="ER7" s="31">
        <f t="shared" si="7"/>
        <v>0</v>
      </c>
      <c r="ES7" s="31">
        <f t="shared" si="7"/>
        <v>0</v>
      </c>
      <c r="ET7" s="31">
        <f t="shared" si="7"/>
        <v>0</v>
      </c>
      <c r="EU7" s="31">
        <f t="shared" si="7"/>
        <v>0</v>
      </c>
      <c r="EV7" s="31">
        <f t="shared" si="7"/>
        <v>0</v>
      </c>
      <c r="EW7" s="31">
        <f t="shared" si="7"/>
        <v>0</v>
      </c>
      <c r="EX7" s="31">
        <f t="shared" si="7"/>
        <v>0</v>
      </c>
      <c r="EY7" s="31">
        <f t="shared" si="7"/>
        <v>0</v>
      </c>
      <c r="EZ7" s="31">
        <f t="shared" si="7"/>
        <v>0.1</v>
      </c>
      <c r="FA7" s="31">
        <f t="shared" si="7"/>
        <v>0</v>
      </c>
      <c r="FB7" s="31">
        <f t="shared" si="7"/>
        <v>0</v>
      </c>
      <c r="FC7" s="31">
        <f t="shared" si="7"/>
        <v>0</v>
      </c>
      <c r="FD7" s="31">
        <f t="shared" si="7"/>
        <v>0</v>
      </c>
      <c r="FE7" s="31">
        <f t="shared" si="7"/>
        <v>0</v>
      </c>
      <c r="FF7" s="31">
        <f t="shared" si="7"/>
        <v>0.072</v>
      </c>
      <c r="FG7" s="31">
        <f t="shared" si="7"/>
        <v>0</v>
      </c>
      <c r="FH7" s="31">
        <f t="shared" si="7"/>
        <v>0</v>
      </c>
      <c r="FI7" s="31">
        <f t="shared" si="7"/>
        <v>0</v>
      </c>
      <c r="FJ7" s="31">
        <f t="shared" si="7"/>
        <v>0</v>
      </c>
      <c r="FK7" s="31">
        <f t="shared" si="7"/>
        <v>0</v>
      </c>
      <c r="FL7" s="31">
        <f t="shared" si="7"/>
        <v>0</v>
      </c>
      <c r="FM7" s="31">
        <f t="shared" si="7"/>
        <v>0</v>
      </c>
      <c r="FN7" s="31">
        <f t="shared" si="7"/>
        <v>0</v>
      </c>
      <c r="FO7" s="31">
        <f t="shared" si="7"/>
        <v>0</v>
      </c>
      <c r="FP7" s="31">
        <f t="shared" si="7"/>
        <v>0</v>
      </c>
      <c r="FQ7" s="31">
        <f t="shared" si="7"/>
        <v>0</v>
      </c>
      <c r="FR7" s="31">
        <f t="shared" si="7"/>
        <v>0</v>
      </c>
      <c r="FS7" s="31">
        <f t="shared" si="7"/>
        <v>0</v>
      </c>
      <c r="FT7" s="31">
        <f t="shared" si="7"/>
        <v>0</v>
      </c>
      <c r="FU7" s="31">
        <f t="shared" si="7"/>
        <v>0</v>
      </c>
      <c r="FV7" s="31">
        <f t="shared" si="7"/>
        <v>0</v>
      </c>
      <c r="FW7" s="31">
        <f t="shared" si="7"/>
        <v>0</v>
      </c>
      <c r="FX7" s="31">
        <f t="shared" si="7"/>
        <v>0</v>
      </c>
      <c r="FY7" s="31">
        <f t="shared" si="7"/>
        <v>0</v>
      </c>
      <c r="FZ7" s="31">
        <f t="shared" si="7"/>
        <v>0</v>
      </c>
      <c r="GA7" s="31">
        <f t="shared" si="7"/>
        <v>0</v>
      </c>
      <c r="GB7" s="31">
        <f t="shared" si="7"/>
        <v>0</v>
      </c>
      <c r="GC7" s="31">
        <f t="shared" si="7"/>
        <v>0</v>
      </c>
      <c r="GD7" s="31">
        <f t="shared" si="7"/>
        <v>0</v>
      </c>
      <c r="GE7" s="31">
        <f t="shared" si="7"/>
        <v>0</v>
      </c>
      <c r="GF7" s="31">
        <f t="shared" si="7"/>
        <v>0</v>
      </c>
      <c r="GG7" s="31">
        <f t="shared" si="7"/>
        <v>0</v>
      </c>
      <c r="GH7" s="31">
        <f t="shared" si="7"/>
        <v>0</v>
      </c>
      <c r="GI7" s="31">
        <f t="shared" si="7"/>
        <v>0</v>
      </c>
      <c r="GJ7" s="31">
        <f t="shared" si="7"/>
        <v>0</v>
      </c>
      <c r="GK7" s="31">
        <f t="shared" si="7"/>
        <v>0</v>
      </c>
      <c r="GL7" s="31">
        <f t="shared" si="7"/>
        <v>0</v>
      </c>
      <c r="GM7" s="31">
        <f t="shared" si="7"/>
        <v>0</v>
      </c>
      <c r="GN7" s="31">
        <f t="shared" si="7"/>
        <v>0</v>
      </c>
      <c r="GO7" s="31">
        <f t="shared" si="7"/>
        <v>0</v>
      </c>
      <c r="GP7" s="31">
        <f aca="true" t="shared" si="8" ref="GP7:HX7">GP9+GP11</f>
        <v>0</v>
      </c>
      <c r="GQ7" s="31">
        <f t="shared" si="8"/>
        <v>0</v>
      </c>
      <c r="GR7" s="31">
        <f t="shared" si="8"/>
        <v>0</v>
      </c>
      <c r="GS7" s="31">
        <f t="shared" si="8"/>
        <v>0</v>
      </c>
      <c r="GT7" s="31">
        <f t="shared" si="8"/>
        <v>0</v>
      </c>
      <c r="GU7" s="31">
        <f t="shared" si="8"/>
        <v>0</v>
      </c>
      <c r="GV7" s="31">
        <f t="shared" si="8"/>
        <v>0</v>
      </c>
      <c r="GW7" s="31">
        <f t="shared" si="8"/>
        <v>0</v>
      </c>
      <c r="GX7" s="31">
        <f t="shared" si="8"/>
        <v>0</v>
      </c>
      <c r="GY7" s="31">
        <f t="shared" si="8"/>
        <v>0</v>
      </c>
      <c r="GZ7" s="31">
        <f t="shared" si="8"/>
        <v>0</v>
      </c>
      <c r="HA7" s="31">
        <f t="shared" si="8"/>
        <v>0</v>
      </c>
      <c r="HB7" s="31">
        <f t="shared" si="8"/>
        <v>0</v>
      </c>
      <c r="HC7" s="31">
        <f t="shared" si="8"/>
        <v>0</v>
      </c>
      <c r="HD7" s="31">
        <f t="shared" si="8"/>
        <v>0</v>
      </c>
      <c r="HE7" s="31">
        <f t="shared" si="8"/>
        <v>0</v>
      </c>
      <c r="HF7" s="31">
        <f t="shared" si="8"/>
        <v>0</v>
      </c>
      <c r="HG7" s="31">
        <f t="shared" si="8"/>
        <v>0</v>
      </c>
      <c r="HH7" s="31">
        <f t="shared" si="8"/>
        <v>0</v>
      </c>
      <c r="HI7" s="31">
        <f t="shared" si="8"/>
        <v>0</v>
      </c>
      <c r="HJ7" s="31">
        <f t="shared" si="8"/>
        <v>0</v>
      </c>
      <c r="HK7" s="31">
        <f t="shared" si="8"/>
        <v>0</v>
      </c>
      <c r="HL7" s="31">
        <f t="shared" si="8"/>
        <v>0</v>
      </c>
      <c r="HM7" s="31">
        <f t="shared" si="8"/>
        <v>0</v>
      </c>
      <c r="HN7" s="31">
        <f t="shared" si="8"/>
        <v>0</v>
      </c>
      <c r="HO7" s="31">
        <f t="shared" si="8"/>
        <v>0</v>
      </c>
      <c r="HP7" s="31">
        <f t="shared" si="8"/>
        <v>0</v>
      </c>
      <c r="HQ7" s="31">
        <f t="shared" si="8"/>
        <v>0</v>
      </c>
      <c r="HR7" s="31">
        <f t="shared" si="8"/>
        <v>0</v>
      </c>
      <c r="HS7" s="31">
        <f t="shared" si="8"/>
        <v>0</v>
      </c>
      <c r="HT7" s="31">
        <f t="shared" si="8"/>
        <v>0</v>
      </c>
      <c r="HU7" s="31">
        <f t="shared" si="8"/>
        <v>0</v>
      </c>
      <c r="HV7" s="31">
        <f t="shared" si="8"/>
        <v>0</v>
      </c>
      <c r="HW7" s="31">
        <f t="shared" si="8"/>
        <v>0.1</v>
      </c>
      <c r="HX7" s="31">
        <f t="shared" si="8"/>
        <v>0</v>
      </c>
    </row>
    <row r="8" spans="1:232" ht="12.75" customHeight="1">
      <c r="A8" s="2"/>
      <c r="B8" s="5" t="s">
        <v>43</v>
      </c>
      <c r="C8" s="4" t="s">
        <v>0</v>
      </c>
      <c r="D8" s="31">
        <f t="shared" si="4"/>
        <v>550.3130000000001</v>
      </c>
      <c r="E8" s="31">
        <f aca="true" t="shared" si="9" ref="E8:BQ8">E10+E12+E13</f>
        <v>550.3130000000001</v>
      </c>
      <c r="F8" s="31">
        <f t="shared" si="9"/>
        <v>0</v>
      </c>
      <c r="G8" s="31">
        <f t="shared" si="9"/>
        <v>0</v>
      </c>
      <c r="H8" s="31">
        <f t="shared" si="9"/>
        <v>0</v>
      </c>
      <c r="I8" s="31">
        <f t="shared" si="9"/>
        <v>0</v>
      </c>
      <c r="J8" s="31">
        <f t="shared" si="9"/>
        <v>0</v>
      </c>
      <c r="K8" s="31">
        <f t="shared" si="9"/>
        <v>0</v>
      </c>
      <c r="L8" s="31">
        <f t="shared" si="9"/>
        <v>0</v>
      </c>
      <c r="M8" s="31">
        <f t="shared" si="9"/>
        <v>0</v>
      </c>
      <c r="N8" s="31">
        <f t="shared" si="9"/>
        <v>0</v>
      </c>
      <c r="O8" s="31">
        <f t="shared" si="9"/>
        <v>0</v>
      </c>
      <c r="P8" s="31">
        <f t="shared" si="9"/>
        <v>0</v>
      </c>
      <c r="Q8" s="31">
        <f t="shared" si="9"/>
        <v>0</v>
      </c>
      <c r="R8" s="31">
        <f t="shared" si="9"/>
        <v>0</v>
      </c>
      <c r="S8" s="31">
        <f t="shared" si="9"/>
        <v>0</v>
      </c>
      <c r="T8" s="31">
        <f t="shared" si="9"/>
        <v>0</v>
      </c>
      <c r="U8" s="31">
        <f t="shared" si="9"/>
        <v>0</v>
      </c>
      <c r="V8" s="31">
        <f t="shared" si="9"/>
        <v>0</v>
      </c>
      <c r="W8" s="31">
        <f t="shared" si="9"/>
        <v>0</v>
      </c>
      <c r="X8" s="31">
        <f t="shared" si="9"/>
        <v>0</v>
      </c>
      <c r="Y8" s="31">
        <f>Y10+Y12+Y13</f>
        <v>0</v>
      </c>
      <c r="Z8" s="31">
        <f>Z10+Z12+Z13</f>
        <v>0</v>
      </c>
      <c r="AA8" s="31">
        <f t="shared" si="9"/>
        <v>0</v>
      </c>
      <c r="AB8" s="31">
        <f t="shared" si="9"/>
        <v>0</v>
      </c>
      <c r="AC8" s="31">
        <f t="shared" si="9"/>
        <v>0</v>
      </c>
      <c r="AD8" s="31">
        <f t="shared" si="9"/>
        <v>0</v>
      </c>
      <c r="AE8" s="31">
        <f t="shared" si="9"/>
        <v>0</v>
      </c>
      <c r="AF8" s="31">
        <f t="shared" si="9"/>
        <v>0</v>
      </c>
      <c r="AG8" s="31">
        <f t="shared" si="9"/>
        <v>0</v>
      </c>
      <c r="AH8" s="31">
        <f t="shared" si="9"/>
        <v>0</v>
      </c>
      <c r="AI8" s="31">
        <f t="shared" si="9"/>
        <v>0</v>
      </c>
      <c r="AJ8" s="31">
        <f t="shared" si="9"/>
        <v>0</v>
      </c>
      <c r="AK8" s="31">
        <f t="shared" si="9"/>
        <v>0</v>
      </c>
      <c r="AL8" s="31">
        <f t="shared" si="9"/>
        <v>0</v>
      </c>
      <c r="AM8" s="31">
        <f t="shared" si="9"/>
        <v>0</v>
      </c>
      <c r="AN8" s="31">
        <f t="shared" si="9"/>
        <v>0</v>
      </c>
      <c r="AO8" s="31">
        <f t="shared" si="9"/>
        <v>0</v>
      </c>
      <c r="AP8" s="31">
        <f t="shared" si="9"/>
        <v>0</v>
      </c>
      <c r="AQ8" s="31">
        <f t="shared" si="9"/>
        <v>0</v>
      </c>
      <c r="AR8" s="31">
        <f t="shared" si="9"/>
        <v>0</v>
      </c>
      <c r="AS8" s="31">
        <f t="shared" si="9"/>
        <v>0</v>
      </c>
      <c r="AT8" s="31">
        <f t="shared" si="9"/>
        <v>0</v>
      </c>
      <c r="AU8" s="31">
        <f t="shared" si="9"/>
        <v>0</v>
      </c>
      <c r="AV8" s="31">
        <f t="shared" si="9"/>
        <v>0</v>
      </c>
      <c r="AW8" s="31">
        <f t="shared" si="9"/>
        <v>0</v>
      </c>
      <c r="AX8" s="31">
        <f t="shared" si="9"/>
        <v>0</v>
      </c>
      <c r="AY8" s="31">
        <f t="shared" si="9"/>
        <v>0</v>
      </c>
      <c r="AZ8" s="31">
        <f t="shared" si="9"/>
        <v>0</v>
      </c>
      <c r="BA8" s="31">
        <f t="shared" si="9"/>
        <v>0</v>
      </c>
      <c r="BB8" s="31">
        <f t="shared" si="9"/>
        <v>0</v>
      </c>
      <c r="BC8" s="31">
        <f t="shared" si="9"/>
        <v>0</v>
      </c>
      <c r="BD8" s="31">
        <f t="shared" si="9"/>
        <v>0</v>
      </c>
      <c r="BE8" s="31">
        <f t="shared" si="9"/>
        <v>0</v>
      </c>
      <c r="BF8" s="31">
        <f t="shared" si="9"/>
        <v>0</v>
      </c>
      <c r="BG8" s="31">
        <f t="shared" si="9"/>
        <v>0</v>
      </c>
      <c r="BH8" s="31">
        <f t="shared" si="9"/>
        <v>0</v>
      </c>
      <c r="BI8" s="31">
        <f t="shared" si="9"/>
        <v>0</v>
      </c>
      <c r="BJ8" s="31">
        <f t="shared" si="9"/>
        <v>0</v>
      </c>
      <c r="BK8" s="31">
        <f t="shared" si="9"/>
        <v>0</v>
      </c>
      <c r="BL8" s="31">
        <f t="shared" si="9"/>
        <v>0</v>
      </c>
      <c r="BM8" s="31">
        <f t="shared" si="9"/>
        <v>0</v>
      </c>
      <c r="BN8" s="31">
        <f t="shared" si="9"/>
        <v>0</v>
      </c>
      <c r="BO8" s="31">
        <f t="shared" si="9"/>
        <v>0</v>
      </c>
      <c r="BP8" s="31">
        <f t="shared" si="9"/>
        <v>0</v>
      </c>
      <c r="BQ8" s="31">
        <f t="shared" si="9"/>
        <v>0</v>
      </c>
      <c r="BR8" s="31">
        <f aca="true" t="shared" si="10" ref="BR8:EC8">BR10+BR12+BR13</f>
        <v>0</v>
      </c>
      <c r="BS8" s="31">
        <f t="shared" si="10"/>
        <v>0</v>
      </c>
      <c r="BT8" s="31">
        <f t="shared" si="10"/>
        <v>0</v>
      </c>
      <c r="BU8" s="31">
        <f t="shared" si="10"/>
        <v>0</v>
      </c>
      <c r="BV8" s="31">
        <f t="shared" si="10"/>
        <v>0</v>
      </c>
      <c r="BW8" s="31">
        <f t="shared" si="10"/>
        <v>0</v>
      </c>
      <c r="BX8" s="31">
        <f t="shared" si="10"/>
        <v>0</v>
      </c>
      <c r="BY8" s="31">
        <f t="shared" si="10"/>
        <v>0</v>
      </c>
      <c r="BZ8" s="31">
        <f t="shared" si="10"/>
        <v>0</v>
      </c>
      <c r="CA8" s="31">
        <f t="shared" si="10"/>
        <v>0</v>
      </c>
      <c r="CB8" s="31">
        <f t="shared" si="10"/>
        <v>0</v>
      </c>
      <c r="CC8" s="31">
        <f t="shared" si="10"/>
        <v>0</v>
      </c>
      <c r="CD8" s="31">
        <f t="shared" si="10"/>
        <v>0</v>
      </c>
      <c r="CE8" s="31">
        <f t="shared" si="10"/>
        <v>0</v>
      </c>
      <c r="CF8" s="31">
        <f t="shared" si="10"/>
        <v>0</v>
      </c>
      <c r="CG8" s="31">
        <f t="shared" si="10"/>
        <v>0</v>
      </c>
      <c r="CH8" s="31">
        <f t="shared" si="10"/>
        <v>0</v>
      </c>
      <c r="CI8" s="31">
        <f t="shared" si="10"/>
        <v>0</v>
      </c>
      <c r="CJ8" s="31">
        <f t="shared" si="10"/>
        <v>0</v>
      </c>
      <c r="CK8" s="31">
        <f t="shared" si="10"/>
        <v>0</v>
      </c>
      <c r="CL8" s="31">
        <f t="shared" si="10"/>
        <v>0</v>
      </c>
      <c r="CM8" s="31">
        <f t="shared" si="10"/>
        <v>0</v>
      </c>
      <c r="CN8" s="31">
        <f t="shared" si="10"/>
        <v>0</v>
      </c>
      <c r="CO8" s="31">
        <f t="shared" si="10"/>
        <v>0</v>
      </c>
      <c r="CP8" s="31">
        <f t="shared" si="10"/>
        <v>0</v>
      </c>
      <c r="CQ8" s="31">
        <f t="shared" si="10"/>
        <v>0</v>
      </c>
      <c r="CR8" s="31">
        <f t="shared" si="10"/>
        <v>0</v>
      </c>
      <c r="CS8" s="31">
        <f t="shared" si="10"/>
        <v>0</v>
      </c>
      <c r="CT8" s="31">
        <f t="shared" si="10"/>
        <v>0</v>
      </c>
      <c r="CU8" s="31">
        <f t="shared" si="10"/>
        <v>0</v>
      </c>
      <c r="CV8" s="31">
        <f t="shared" si="10"/>
        <v>0</v>
      </c>
      <c r="CW8" s="31">
        <f t="shared" si="10"/>
        <v>0</v>
      </c>
      <c r="CX8" s="31">
        <f t="shared" si="10"/>
        <v>0</v>
      </c>
      <c r="CY8" s="31">
        <f t="shared" si="10"/>
        <v>0</v>
      </c>
      <c r="CZ8" s="31">
        <f t="shared" si="10"/>
        <v>0</v>
      </c>
      <c r="DA8" s="31">
        <f t="shared" si="10"/>
        <v>0</v>
      </c>
      <c r="DB8" s="31">
        <f t="shared" si="10"/>
        <v>192.43</v>
      </c>
      <c r="DC8" s="31">
        <f t="shared" si="10"/>
        <v>0</v>
      </c>
      <c r="DD8" s="31">
        <f t="shared" si="10"/>
        <v>0</v>
      </c>
      <c r="DE8" s="31">
        <f t="shared" si="10"/>
        <v>0</v>
      </c>
      <c r="DF8" s="31">
        <f t="shared" si="10"/>
        <v>0</v>
      </c>
      <c r="DG8" s="31">
        <f t="shared" si="10"/>
        <v>0</v>
      </c>
      <c r="DH8" s="31">
        <f t="shared" si="10"/>
        <v>0</v>
      </c>
      <c r="DI8" s="31">
        <f t="shared" si="10"/>
        <v>0</v>
      </c>
      <c r="DJ8" s="31">
        <f t="shared" si="10"/>
        <v>0</v>
      </c>
      <c r="DK8" s="31">
        <f t="shared" si="10"/>
        <v>0</v>
      </c>
      <c r="DL8" s="31">
        <f t="shared" si="10"/>
        <v>0</v>
      </c>
      <c r="DM8" s="31">
        <f t="shared" si="10"/>
        <v>0</v>
      </c>
      <c r="DN8" s="31">
        <f t="shared" si="10"/>
        <v>0</v>
      </c>
      <c r="DO8" s="31">
        <f t="shared" si="10"/>
        <v>0</v>
      </c>
      <c r="DP8" s="31">
        <f t="shared" si="10"/>
        <v>0</v>
      </c>
      <c r="DQ8" s="31">
        <f t="shared" si="10"/>
        <v>0</v>
      </c>
      <c r="DR8" s="31">
        <f t="shared" si="10"/>
        <v>0</v>
      </c>
      <c r="DS8" s="31">
        <f t="shared" si="10"/>
        <v>0</v>
      </c>
      <c r="DT8" s="31">
        <f t="shared" si="10"/>
        <v>0</v>
      </c>
      <c r="DU8" s="31">
        <f t="shared" si="10"/>
        <v>0</v>
      </c>
      <c r="DV8" s="31">
        <f t="shared" si="10"/>
        <v>0</v>
      </c>
      <c r="DW8" s="31">
        <f t="shared" si="10"/>
        <v>0</v>
      </c>
      <c r="DX8" s="31">
        <f t="shared" si="10"/>
        <v>127.97</v>
      </c>
      <c r="DY8" s="31">
        <f t="shared" si="10"/>
        <v>0</v>
      </c>
      <c r="DZ8" s="31">
        <f t="shared" si="10"/>
        <v>0</v>
      </c>
      <c r="EA8" s="31">
        <f t="shared" si="10"/>
        <v>0</v>
      </c>
      <c r="EB8" s="31">
        <f t="shared" si="10"/>
        <v>0</v>
      </c>
      <c r="EC8" s="31">
        <f t="shared" si="10"/>
        <v>0</v>
      </c>
      <c r="ED8" s="31">
        <f aca="true" t="shared" si="11" ref="ED8:GO8">ED10+ED12+ED13</f>
        <v>0</v>
      </c>
      <c r="EE8" s="31">
        <f t="shared" si="11"/>
        <v>0</v>
      </c>
      <c r="EF8" s="31">
        <f t="shared" si="11"/>
        <v>0</v>
      </c>
      <c r="EG8" s="31">
        <f t="shared" si="11"/>
        <v>0</v>
      </c>
      <c r="EH8" s="31">
        <f t="shared" si="11"/>
        <v>0</v>
      </c>
      <c r="EI8" s="31">
        <f t="shared" si="11"/>
        <v>0</v>
      </c>
      <c r="EJ8" s="31">
        <f t="shared" si="11"/>
        <v>0</v>
      </c>
      <c r="EK8" s="31">
        <f t="shared" si="11"/>
        <v>0</v>
      </c>
      <c r="EL8" s="31">
        <f t="shared" si="11"/>
        <v>0</v>
      </c>
      <c r="EM8" s="31">
        <f t="shared" si="11"/>
        <v>0</v>
      </c>
      <c r="EN8" s="31">
        <f t="shared" si="11"/>
        <v>0</v>
      </c>
      <c r="EO8" s="31">
        <f t="shared" si="11"/>
        <v>0</v>
      </c>
      <c r="EP8" s="31">
        <f t="shared" si="11"/>
        <v>0</v>
      </c>
      <c r="EQ8" s="31">
        <f t="shared" si="11"/>
        <v>0</v>
      </c>
      <c r="ER8" s="31">
        <f t="shared" si="11"/>
        <v>0</v>
      </c>
      <c r="ES8" s="31">
        <f t="shared" si="11"/>
        <v>0</v>
      </c>
      <c r="ET8" s="31">
        <f t="shared" si="11"/>
        <v>0</v>
      </c>
      <c r="EU8" s="31">
        <f t="shared" si="11"/>
        <v>0</v>
      </c>
      <c r="EV8" s="31">
        <f t="shared" si="11"/>
        <v>0</v>
      </c>
      <c r="EW8" s="31">
        <f t="shared" si="11"/>
        <v>0</v>
      </c>
      <c r="EX8" s="31">
        <f t="shared" si="11"/>
        <v>0</v>
      </c>
      <c r="EY8" s="31">
        <f t="shared" si="11"/>
        <v>0</v>
      </c>
      <c r="EZ8" s="31">
        <f t="shared" si="11"/>
        <v>66.774</v>
      </c>
      <c r="FA8" s="31">
        <f t="shared" si="11"/>
        <v>0</v>
      </c>
      <c r="FB8" s="31">
        <f t="shared" si="11"/>
        <v>0</v>
      </c>
      <c r="FC8" s="31">
        <f t="shared" si="11"/>
        <v>0</v>
      </c>
      <c r="FD8" s="31">
        <f t="shared" si="11"/>
        <v>0</v>
      </c>
      <c r="FE8" s="31">
        <f t="shared" si="11"/>
        <v>0</v>
      </c>
      <c r="FF8" s="31">
        <f t="shared" si="11"/>
        <v>64.005</v>
      </c>
      <c r="FG8" s="31">
        <f t="shared" si="11"/>
        <v>0</v>
      </c>
      <c r="FH8" s="31">
        <f t="shared" si="11"/>
        <v>0</v>
      </c>
      <c r="FI8" s="31">
        <f t="shared" si="11"/>
        <v>0</v>
      </c>
      <c r="FJ8" s="31">
        <f t="shared" si="11"/>
        <v>0</v>
      </c>
      <c r="FK8" s="31">
        <f t="shared" si="11"/>
        <v>0</v>
      </c>
      <c r="FL8" s="31">
        <f t="shared" si="11"/>
        <v>0</v>
      </c>
      <c r="FM8" s="31">
        <f t="shared" si="11"/>
        <v>0</v>
      </c>
      <c r="FN8" s="31">
        <f t="shared" si="11"/>
        <v>0</v>
      </c>
      <c r="FO8" s="31">
        <f t="shared" si="11"/>
        <v>0</v>
      </c>
      <c r="FP8" s="31">
        <f t="shared" si="11"/>
        <v>0</v>
      </c>
      <c r="FQ8" s="31">
        <f t="shared" si="11"/>
        <v>0</v>
      </c>
      <c r="FR8" s="31">
        <f t="shared" si="11"/>
        <v>0</v>
      </c>
      <c r="FS8" s="31">
        <f t="shared" si="11"/>
        <v>0</v>
      </c>
      <c r="FT8" s="31">
        <f t="shared" si="11"/>
        <v>0</v>
      </c>
      <c r="FU8" s="31">
        <f t="shared" si="11"/>
        <v>0</v>
      </c>
      <c r="FV8" s="31">
        <f t="shared" si="11"/>
        <v>0</v>
      </c>
      <c r="FW8" s="31">
        <f t="shared" si="11"/>
        <v>0</v>
      </c>
      <c r="FX8" s="31">
        <f t="shared" si="11"/>
        <v>0</v>
      </c>
      <c r="FY8" s="31">
        <f t="shared" si="11"/>
        <v>0</v>
      </c>
      <c r="FZ8" s="31">
        <f t="shared" si="11"/>
        <v>0</v>
      </c>
      <c r="GA8" s="31">
        <f t="shared" si="11"/>
        <v>0</v>
      </c>
      <c r="GB8" s="31">
        <f t="shared" si="11"/>
        <v>0</v>
      </c>
      <c r="GC8" s="31">
        <f t="shared" si="11"/>
        <v>0</v>
      </c>
      <c r="GD8" s="31">
        <f t="shared" si="11"/>
        <v>0</v>
      </c>
      <c r="GE8" s="31">
        <f t="shared" si="11"/>
        <v>0</v>
      </c>
      <c r="GF8" s="31">
        <f t="shared" si="11"/>
        <v>0</v>
      </c>
      <c r="GG8" s="31">
        <f t="shared" si="11"/>
        <v>0</v>
      </c>
      <c r="GH8" s="31">
        <f t="shared" si="11"/>
        <v>0</v>
      </c>
      <c r="GI8" s="31">
        <f t="shared" si="11"/>
        <v>0</v>
      </c>
      <c r="GJ8" s="31">
        <f t="shared" si="11"/>
        <v>0</v>
      </c>
      <c r="GK8" s="31">
        <f t="shared" si="11"/>
        <v>0</v>
      </c>
      <c r="GL8" s="31">
        <f t="shared" si="11"/>
        <v>0</v>
      </c>
      <c r="GM8" s="31">
        <f t="shared" si="11"/>
        <v>0</v>
      </c>
      <c r="GN8" s="31">
        <f t="shared" si="11"/>
        <v>0</v>
      </c>
      <c r="GO8" s="31">
        <f t="shared" si="11"/>
        <v>0</v>
      </c>
      <c r="GP8" s="31">
        <f aca="true" t="shared" si="12" ref="GP8:HX8">GP10+GP12+GP13</f>
        <v>0</v>
      </c>
      <c r="GQ8" s="31">
        <f t="shared" si="12"/>
        <v>0</v>
      </c>
      <c r="GR8" s="31">
        <f t="shared" si="12"/>
        <v>0</v>
      </c>
      <c r="GS8" s="31">
        <f t="shared" si="12"/>
        <v>0</v>
      </c>
      <c r="GT8" s="31">
        <f t="shared" si="12"/>
        <v>0</v>
      </c>
      <c r="GU8" s="31">
        <f t="shared" si="12"/>
        <v>0</v>
      </c>
      <c r="GV8" s="31">
        <f t="shared" si="12"/>
        <v>0</v>
      </c>
      <c r="GW8" s="31">
        <f t="shared" si="12"/>
        <v>0</v>
      </c>
      <c r="GX8" s="31">
        <f t="shared" si="12"/>
        <v>0</v>
      </c>
      <c r="GY8" s="31">
        <f t="shared" si="12"/>
        <v>0</v>
      </c>
      <c r="GZ8" s="31">
        <f t="shared" si="12"/>
        <v>0</v>
      </c>
      <c r="HA8" s="31">
        <f t="shared" si="12"/>
        <v>0</v>
      </c>
      <c r="HB8" s="31">
        <f t="shared" si="12"/>
        <v>0</v>
      </c>
      <c r="HC8" s="31">
        <f t="shared" si="12"/>
        <v>0</v>
      </c>
      <c r="HD8" s="31">
        <f t="shared" si="12"/>
        <v>0</v>
      </c>
      <c r="HE8" s="31">
        <f t="shared" si="12"/>
        <v>0</v>
      </c>
      <c r="HF8" s="31">
        <f t="shared" si="12"/>
        <v>0</v>
      </c>
      <c r="HG8" s="31">
        <f t="shared" si="12"/>
        <v>0</v>
      </c>
      <c r="HH8" s="31">
        <f t="shared" si="12"/>
        <v>0</v>
      </c>
      <c r="HI8" s="31">
        <f t="shared" si="12"/>
        <v>0</v>
      </c>
      <c r="HJ8" s="31">
        <f t="shared" si="12"/>
        <v>0</v>
      </c>
      <c r="HK8" s="31">
        <f t="shared" si="12"/>
        <v>0</v>
      </c>
      <c r="HL8" s="31">
        <f t="shared" si="12"/>
        <v>0</v>
      </c>
      <c r="HM8" s="31">
        <f t="shared" si="12"/>
        <v>0</v>
      </c>
      <c r="HN8" s="31">
        <f t="shared" si="12"/>
        <v>0</v>
      </c>
      <c r="HO8" s="31">
        <f t="shared" si="12"/>
        <v>0</v>
      </c>
      <c r="HP8" s="31">
        <f t="shared" si="12"/>
        <v>0</v>
      </c>
      <c r="HQ8" s="31">
        <f t="shared" si="12"/>
        <v>0</v>
      </c>
      <c r="HR8" s="31">
        <f t="shared" si="12"/>
        <v>0</v>
      </c>
      <c r="HS8" s="31">
        <f t="shared" si="12"/>
        <v>0</v>
      </c>
      <c r="HT8" s="31">
        <f t="shared" si="12"/>
        <v>0</v>
      </c>
      <c r="HU8" s="31">
        <f t="shared" si="12"/>
        <v>0</v>
      </c>
      <c r="HV8" s="31">
        <f t="shared" si="12"/>
        <v>0</v>
      </c>
      <c r="HW8" s="31">
        <f t="shared" si="12"/>
        <v>99.134</v>
      </c>
      <c r="HX8" s="31">
        <f t="shared" si="12"/>
        <v>0</v>
      </c>
    </row>
    <row r="9" spans="1:232" ht="12.75" customHeight="1">
      <c r="A9" s="2" t="s">
        <v>42</v>
      </c>
      <c r="B9" s="5" t="s">
        <v>41</v>
      </c>
      <c r="C9" s="4" t="s">
        <v>11</v>
      </c>
      <c r="D9" s="31">
        <f t="shared" si="4"/>
        <v>0.15</v>
      </c>
      <c r="E9" s="18">
        <f aca="true" t="shared" si="13" ref="E9:E14">SUM(G9:HX9)</f>
        <v>0.15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>
        <v>0.15</v>
      </c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6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</row>
    <row r="10" spans="1:232" ht="12.75" customHeight="1">
      <c r="A10" s="2"/>
      <c r="B10" s="5"/>
      <c r="C10" s="4" t="s">
        <v>0</v>
      </c>
      <c r="D10" s="31">
        <f t="shared" si="4"/>
        <v>192.43</v>
      </c>
      <c r="E10" s="18">
        <f t="shared" si="13"/>
        <v>192.43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>
        <v>192.43</v>
      </c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6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</row>
    <row r="11" spans="1:232" ht="12.75" customHeight="1">
      <c r="A11" s="2" t="s">
        <v>40</v>
      </c>
      <c r="B11" s="5" t="s">
        <v>39</v>
      </c>
      <c r="C11" s="4" t="s">
        <v>11</v>
      </c>
      <c r="D11" s="31">
        <f t="shared" si="4"/>
        <v>0.41000000000000003</v>
      </c>
      <c r="E11" s="18">
        <f t="shared" si="13"/>
        <v>0.41000000000000003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>
        <v>0.138</v>
      </c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>
        <v>0.1</v>
      </c>
      <c r="FA11" s="18"/>
      <c r="FB11" s="18"/>
      <c r="FC11" s="18"/>
      <c r="FD11" s="18"/>
      <c r="FE11" s="18"/>
      <c r="FF11" s="18">
        <v>0.072</v>
      </c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>
        <v>0.1</v>
      </c>
      <c r="HX11" s="18"/>
    </row>
    <row r="12" spans="1:232" ht="12.75" customHeight="1">
      <c r="A12" s="2"/>
      <c r="B12" s="5"/>
      <c r="C12" s="4" t="s">
        <v>0</v>
      </c>
      <c r="D12" s="31">
        <f t="shared" si="4"/>
        <v>357.88300000000004</v>
      </c>
      <c r="E12" s="18">
        <f t="shared" si="13"/>
        <v>357.88300000000004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>
        <v>127.97</v>
      </c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>
        <v>66.774</v>
      </c>
      <c r="FA12" s="18"/>
      <c r="FB12" s="18"/>
      <c r="FC12" s="18"/>
      <c r="FD12" s="18"/>
      <c r="FE12" s="18"/>
      <c r="FF12" s="18">
        <v>64.005</v>
      </c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>
        <v>99.134</v>
      </c>
      <c r="HX12" s="18"/>
    </row>
    <row r="13" spans="1:232" ht="12.75" customHeight="1">
      <c r="A13" s="2" t="s">
        <v>295</v>
      </c>
      <c r="B13" s="5" t="s">
        <v>296</v>
      </c>
      <c r="C13" s="4" t="s">
        <v>0</v>
      </c>
      <c r="D13" s="31">
        <f t="shared" si="4"/>
        <v>0</v>
      </c>
      <c r="E13" s="18">
        <f t="shared" si="13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</row>
    <row r="14" spans="1:232" ht="12.75" customHeight="1">
      <c r="A14" s="2" t="s">
        <v>304</v>
      </c>
      <c r="B14" s="9" t="s">
        <v>298</v>
      </c>
      <c r="C14" s="7" t="s">
        <v>54</v>
      </c>
      <c r="D14" s="32">
        <f>E14+F14</f>
        <v>2</v>
      </c>
      <c r="E14" s="32">
        <f t="shared" si="13"/>
        <v>2</v>
      </c>
      <c r="F14" s="3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>
        <v>1</v>
      </c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>
        <v>1</v>
      </c>
      <c r="HW14" s="31"/>
      <c r="HX14" s="31"/>
    </row>
    <row r="15" spans="1:232" ht="12.75" customHeight="1">
      <c r="A15" s="2"/>
      <c r="B15" s="9"/>
      <c r="C15" s="7" t="s">
        <v>0</v>
      </c>
      <c r="D15" s="31">
        <f>E15+F15</f>
        <v>374.438</v>
      </c>
      <c r="E15" s="31">
        <f>E17+E19+E21+E23+E24</f>
        <v>374.438</v>
      </c>
      <c r="F15" s="31">
        <f>F17+F19+F21+F23+F24</f>
        <v>0</v>
      </c>
      <c r="G15" s="31"/>
      <c r="H15" s="31"/>
      <c r="I15" s="31"/>
      <c r="J15" s="31"/>
      <c r="K15" s="31"/>
      <c r="L15" s="31"/>
      <c r="M15" s="31"/>
      <c r="N15" s="31"/>
      <c r="O15" s="31"/>
      <c r="P15" s="31">
        <f>P17+P19+P21+P23+P24</f>
        <v>0</v>
      </c>
      <c r="Q15" s="31"/>
      <c r="R15" s="31"/>
      <c r="S15" s="31"/>
      <c r="T15" s="31">
        <f>T17+T19+T21+T23+T24</f>
        <v>0</v>
      </c>
      <c r="U15" s="31"/>
      <c r="V15" s="31"/>
      <c r="W15" s="31"/>
      <c r="X15" s="31"/>
      <c r="Y15" s="31"/>
      <c r="Z15" s="31"/>
      <c r="AA15" s="31"/>
      <c r="AB15" s="31"/>
      <c r="AC15" s="31">
        <f>AC17+AC19+AC21+AC23+AC24</f>
        <v>0</v>
      </c>
      <c r="AD15" s="31">
        <f>AD17+AD19+AD21+AD23+AD24</f>
        <v>0</v>
      </c>
      <c r="AE15" s="31"/>
      <c r="AF15" s="31"/>
      <c r="AG15" s="31"/>
      <c r="AH15" s="31">
        <f>AH17+AH19+AH21+AH23+AH24</f>
        <v>0</v>
      </c>
      <c r="AI15" s="31"/>
      <c r="AJ15" s="31"/>
      <c r="AK15" s="31"/>
      <c r="AL15" s="31">
        <f>AL17+AL19+AL21+AL23+AL24</f>
        <v>0</v>
      </c>
      <c r="AM15" s="31">
        <f>AM17+AM19+AM21+AM23+AM24</f>
        <v>0</v>
      </c>
      <c r="AN15" s="31"/>
      <c r="AO15" s="31"/>
      <c r="AP15" s="31"/>
      <c r="AQ15" s="31">
        <f>AQ17+AQ19+AQ21+AQ23+AQ24</f>
        <v>0</v>
      </c>
      <c r="AR15" s="31"/>
      <c r="AS15" s="31"/>
      <c r="AT15" s="31"/>
      <c r="AU15" s="31"/>
      <c r="AV15" s="31"/>
      <c r="AW15" s="31"/>
      <c r="AX15" s="31"/>
      <c r="AY15" s="31">
        <f>AY17+AY19+AY21+AY23+AY24</f>
        <v>0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>
        <f>BM17+BM19+BM21+BM23+BM24</f>
        <v>0</v>
      </c>
      <c r="BN15" s="31">
        <f>BN17+BN19+BN21+BN23+BN24</f>
        <v>0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>
        <f>BY17+BY19+BY21+BY23+BY24</f>
        <v>0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>
        <f>CN17+CN19+CN21+CN23+CN24</f>
        <v>0</v>
      </c>
      <c r="CO15" s="31">
        <f>CO17+CO19+CO21+CO23+CO24</f>
        <v>0</v>
      </c>
      <c r="CP15" s="31">
        <f>CP17+CP19+CP21+CP23+CP24</f>
        <v>0</v>
      </c>
      <c r="CQ15" s="31">
        <f>CQ17+CQ19+CQ21+CQ23+CQ24</f>
        <v>0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>
        <f>DD17+DD19+DD21+DD23+DD24</f>
        <v>0</v>
      </c>
      <c r="DE15" s="31"/>
      <c r="DF15" s="31"/>
      <c r="DG15" s="31">
        <f>DG17+DG19+DG21+DG23+DG24</f>
        <v>0</v>
      </c>
      <c r="DH15" s="31">
        <f>DH17+DH19+DH21+DH23+DH24</f>
        <v>0</v>
      </c>
      <c r="DI15" s="31">
        <f>DI17+DI19+DI21+DI23+DI24</f>
        <v>0</v>
      </c>
      <c r="DJ15" s="31"/>
      <c r="DK15" s="31">
        <f>DK17+DK19+DK21+DK23+DK24</f>
        <v>0</v>
      </c>
      <c r="DL15" s="31"/>
      <c r="DM15" s="31"/>
      <c r="DN15" s="31"/>
      <c r="DO15" s="31"/>
      <c r="DP15" s="31"/>
      <c r="DQ15" s="31"/>
      <c r="DR15" s="31"/>
      <c r="DS15" s="31">
        <f aca="true" t="shared" si="14" ref="DS15:EE15">DS17+DS19+DS21+DS23+DS24</f>
        <v>0</v>
      </c>
      <c r="DT15" s="31">
        <f t="shared" si="14"/>
        <v>0</v>
      </c>
      <c r="DU15" s="31">
        <f t="shared" si="14"/>
        <v>0</v>
      </c>
      <c r="DV15" s="31">
        <f t="shared" si="14"/>
        <v>0</v>
      </c>
      <c r="DW15" s="31">
        <f t="shared" si="14"/>
        <v>0</v>
      </c>
      <c r="DX15" s="31">
        <f t="shared" si="14"/>
        <v>0</v>
      </c>
      <c r="DY15" s="31">
        <f t="shared" si="14"/>
        <v>0</v>
      </c>
      <c r="DZ15" s="31">
        <f t="shared" si="14"/>
        <v>0</v>
      </c>
      <c r="EA15" s="31">
        <f t="shared" si="14"/>
        <v>0</v>
      </c>
      <c r="EB15" s="31">
        <f t="shared" si="14"/>
        <v>0</v>
      </c>
      <c r="EC15" s="31">
        <f t="shared" si="14"/>
        <v>0</v>
      </c>
      <c r="ED15" s="31">
        <f t="shared" si="14"/>
        <v>0</v>
      </c>
      <c r="EE15" s="31">
        <f t="shared" si="14"/>
        <v>0</v>
      </c>
      <c r="EF15" s="31"/>
      <c r="EG15" s="31"/>
      <c r="EH15" s="31"/>
      <c r="EI15" s="31">
        <f>EI17+EI19+EI21+EI23+EI24</f>
        <v>0</v>
      </c>
      <c r="EJ15" s="31">
        <f>EJ17+EJ19+EJ21+EJ23+EJ24</f>
        <v>0</v>
      </c>
      <c r="EK15" s="31"/>
      <c r="EL15" s="31">
        <f>EL17+EL19+EL21+EL23+EL24</f>
        <v>0</v>
      </c>
      <c r="EM15" s="31">
        <f>EM17+EM19+EM21+EM23+EM24</f>
        <v>0</v>
      </c>
      <c r="EN15" s="31"/>
      <c r="EO15" s="31"/>
      <c r="EP15" s="31">
        <f>EP17+EP19+EP21+EP23+EP24</f>
        <v>0</v>
      </c>
      <c r="EQ15" s="31"/>
      <c r="ER15" s="31"/>
      <c r="ES15" s="31">
        <f>ES17+ES19+ES21+ES23+ES24</f>
        <v>0</v>
      </c>
      <c r="ET15" s="31">
        <f>ET17+ET19+ET21+ET23+ET24</f>
        <v>0</v>
      </c>
      <c r="EU15" s="31"/>
      <c r="EV15" s="31">
        <f>EV17+EV19+EV21+EV23+EV24</f>
        <v>0</v>
      </c>
      <c r="EW15" s="31"/>
      <c r="EX15" s="31"/>
      <c r="EY15" s="31"/>
      <c r="EZ15" s="31"/>
      <c r="FA15" s="31"/>
      <c r="FB15" s="31"/>
      <c r="FC15" s="31"/>
      <c r="FD15" s="31"/>
      <c r="FE15" s="31"/>
      <c r="FF15" s="31">
        <f>FF17+FF19+FF21+FF23+FF24</f>
        <v>0</v>
      </c>
      <c r="FG15" s="31"/>
      <c r="FH15" s="31">
        <f>FH17+FH19+FH21+FH23+FH24</f>
        <v>0</v>
      </c>
      <c r="FI15" s="31"/>
      <c r="FJ15" s="31">
        <f>FJ17+FJ19+FJ21+FJ23+FJ24</f>
        <v>0</v>
      </c>
      <c r="FK15" s="31">
        <f>FK17+FK19+FK21+FK23+FK24</f>
        <v>0</v>
      </c>
      <c r="FL15" s="31"/>
      <c r="FM15" s="31"/>
      <c r="FN15" s="31"/>
      <c r="FO15" s="31"/>
      <c r="FP15" s="31">
        <f>FP17+FP19+FP21+FP23+FP24</f>
        <v>0</v>
      </c>
      <c r="FQ15" s="31"/>
      <c r="FR15" s="31"/>
      <c r="FS15" s="31"/>
      <c r="FT15" s="31"/>
      <c r="FU15" s="31"/>
      <c r="FV15" s="31"/>
      <c r="FW15" s="31"/>
      <c r="FX15" s="31"/>
      <c r="FY15" s="31">
        <f>FY17+FY19+FY21+FY23+FY24</f>
        <v>89.988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>
        <f>GI17+GI19+GI21+GI23+GI24</f>
        <v>0</v>
      </c>
      <c r="GJ15" s="31"/>
      <c r="GK15" s="31"/>
      <c r="GL15" s="31"/>
      <c r="GM15" s="31">
        <f>GM17+GM19+GM21+GM23+GM24</f>
        <v>0</v>
      </c>
      <c r="GN15" s="31"/>
      <c r="GO15" s="31"/>
      <c r="GP15" s="31"/>
      <c r="GQ15" s="31"/>
      <c r="GR15" s="31"/>
      <c r="GS15" s="31">
        <f>GS17+GS19+GS21+GS23+GS24</f>
        <v>0</v>
      </c>
      <c r="GT15" s="31"/>
      <c r="GU15" s="31"/>
      <c r="GV15" s="31"/>
      <c r="GW15" s="31"/>
      <c r="GX15" s="31"/>
      <c r="GY15" s="31">
        <f>GY17+GY19+GY21+GY23+GY24</f>
        <v>0</v>
      </c>
      <c r="GZ15" s="31"/>
      <c r="HA15" s="31"/>
      <c r="HB15" s="31">
        <f>HB17+HB19+HB21+HB23+HB24</f>
        <v>0</v>
      </c>
      <c r="HC15" s="31"/>
      <c r="HD15" s="31"/>
      <c r="HE15" s="31"/>
      <c r="HF15" s="31">
        <f>HF17+HF19+HF21+HF23+HF24</f>
        <v>0</v>
      </c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>
        <f>HT17+HT19+HT21+HT23+HT24</f>
        <v>0</v>
      </c>
      <c r="HU15" s="31">
        <f>HU17+HU19+HU21+HU23+HU24</f>
        <v>0</v>
      </c>
      <c r="HV15" s="31">
        <f>HV17+HV19+HV21+HV23+HV25+HV26</f>
        <v>284.45</v>
      </c>
      <c r="HW15" s="31"/>
      <c r="HX15" s="31"/>
    </row>
    <row r="16" spans="1:232" ht="12.75" customHeight="1">
      <c r="A16" s="2" t="s">
        <v>55</v>
      </c>
      <c r="B16" s="5" t="s">
        <v>56</v>
      </c>
      <c r="C16" s="4" t="s">
        <v>57</v>
      </c>
      <c r="D16" s="31">
        <f aca="true" t="shared" si="15" ref="D16:D24">E16+F16</f>
        <v>90.25</v>
      </c>
      <c r="E16" s="18">
        <f>SUM(G16:HX16)</f>
        <v>90.25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>
        <v>16</v>
      </c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>
        <v>74.25</v>
      </c>
      <c r="HW16" s="31"/>
      <c r="HX16" s="31"/>
    </row>
    <row r="17" spans="1:232" ht="12.75" customHeight="1">
      <c r="A17" s="2"/>
      <c r="B17" s="5"/>
      <c r="C17" s="4" t="s">
        <v>0</v>
      </c>
      <c r="D17" s="31">
        <f t="shared" si="15"/>
        <v>345.937</v>
      </c>
      <c r="E17" s="18">
        <f aca="true" t="shared" si="16" ref="E17:E24">SUM(G17:HX17)</f>
        <v>345.937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>
        <v>61.487</v>
      </c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>
        <v>284.45</v>
      </c>
      <c r="HW17" s="31"/>
      <c r="HX17" s="31"/>
    </row>
    <row r="18" spans="1:232" ht="12.75" customHeight="1">
      <c r="A18" s="2" t="s">
        <v>58</v>
      </c>
      <c r="B18" s="8" t="s">
        <v>299</v>
      </c>
      <c r="C18" s="4" t="s">
        <v>59</v>
      </c>
      <c r="D18" s="31">
        <f t="shared" si="15"/>
        <v>0</v>
      </c>
      <c r="E18" s="18">
        <f t="shared" si="16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</row>
    <row r="19" spans="1:232" ht="12.75" customHeight="1">
      <c r="A19" s="2"/>
      <c r="B19" s="8"/>
      <c r="C19" s="4" t="s">
        <v>0</v>
      </c>
      <c r="D19" s="31">
        <f t="shared" si="15"/>
        <v>0</v>
      </c>
      <c r="E19" s="18">
        <f t="shared" si="16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3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</row>
    <row r="20" spans="1:232" ht="12.75" customHeight="1">
      <c r="A20" s="2" t="s">
        <v>60</v>
      </c>
      <c r="B20" s="8" t="s">
        <v>300</v>
      </c>
      <c r="C20" s="4" t="s">
        <v>59</v>
      </c>
      <c r="D20" s="31">
        <f t="shared" si="15"/>
        <v>0</v>
      </c>
      <c r="E20" s="18">
        <f t="shared" si="16"/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</row>
    <row r="21" spans="1:232" ht="12.75" customHeight="1">
      <c r="A21" s="2"/>
      <c r="B21" s="8"/>
      <c r="C21" s="4" t="s">
        <v>0</v>
      </c>
      <c r="D21" s="31">
        <f t="shared" si="15"/>
        <v>0</v>
      </c>
      <c r="E21" s="18">
        <f t="shared" si="16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</row>
    <row r="22" spans="1:232" ht="12.75" customHeight="1">
      <c r="A22" s="2" t="s">
        <v>61</v>
      </c>
      <c r="B22" s="5" t="s">
        <v>62</v>
      </c>
      <c r="C22" s="4" t="s">
        <v>1</v>
      </c>
      <c r="D22" s="31">
        <f t="shared" si="15"/>
        <v>3</v>
      </c>
      <c r="E22" s="18">
        <f t="shared" si="16"/>
        <v>3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>
        <v>3</v>
      </c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</row>
    <row r="23" spans="1:232" ht="12.75" customHeight="1">
      <c r="A23" s="2"/>
      <c r="B23" s="5"/>
      <c r="C23" s="4" t="s">
        <v>0</v>
      </c>
      <c r="D23" s="31">
        <f t="shared" si="15"/>
        <v>15.762</v>
      </c>
      <c r="E23" s="18">
        <f t="shared" si="16"/>
        <v>15.762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>
        <v>15.762</v>
      </c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</row>
    <row r="24" spans="1:232" ht="12.75" customHeight="1">
      <c r="A24" s="2" t="s">
        <v>63</v>
      </c>
      <c r="B24" s="5" t="s">
        <v>301</v>
      </c>
      <c r="C24" s="4" t="s">
        <v>0</v>
      </c>
      <c r="D24" s="31">
        <f t="shared" si="15"/>
        <v>12.739</v>
      </c>
      <c r="E24" s="18">
        <f t="shared" si="16"/>
        <v>12.739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>
        <f>0.743+11.996</f>
        <v>12.739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</row>
    <row r="25" spans="1:232" ht="12.75" customHeight="1">
      <c r="A25" s="2" t="s">
        <v>13</v>
      </c>
      <c r="B25" s="3" t="s">
        <v>302</v>
      </c>
      <c r="C25" s="4" t="s">
        <v>24</v>
      </c>
      <c r="D25" s="18">
        <f>E25+F25</f>
        <v>0.08</v>
      </c>
      <c r="E25" s="18">
        <f>SUM(G25:HX25)</f>
        <v>0.08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>
        <v>0.08</v>
      </c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</row>
    <row r="26" spans="1:232" ht="12.75" customHeight="1">
      <c r="A26" s="2"/>
      <c r="B26" s="3"/>
      <c r="C26" s="4" t="s">
        <v>0</v>
      </c>
      <c r="D26" s="18">
        <f aca="true" t="shared" si="17" ref="D26:D63">E26+F26</f>
        <v>42.975</v>
      </c>
      <c r="E26" s="18">
        <f aca="true" t="shared" si="18" ref="E26:E63">SUM(G26:HX26)</f>
        <v>42.975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>
        <v>42.975</v>
      </c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</row>
    <row r="27" spans="1:232" ht="12.75" customHeight="1">
      <c r="A27" s="2" t="s">
        <v>12</v>
      </c>
      <c r="B27" s="3" t="s">
        <v>38</v>
      </c>
      <c r="C27" s="4" t="s">
        <v>11</v>
      </c>
      <c r="D27" s="18">
        <f t="shared" si="17"/>
        <v>3.387299999999996</v>
      </c>
      <c r="E27" s="18">
        <f t="shared" si="18"/>
        <v>3.387299999999996</v>
      </c>
      <c r="F27" s="33"/>
      <c r="G27" s="18"/>
      <c r="H27" s="18">
        <v>0.03</v>
      </c>
      <c r="I27" s="18">
        <f>0.024+0.025</f>
        <v>0.049</v>
      </c>
      <c r="J27" s="18">
        <v>0.02</v>
      </c>
      <c r="K27" s="18">
        <v>0.02</v>
      </c>
      <c r="L27" s="18">
        <v>0.02</v>
      </c>
      <c r="M27" s="18">
        <v>0.02</v>
      </c>
      <c r="N27" s="18"/>
      <c r="O27" s="18">
        <v>0.01</v>
      </c>
      <c r="P27" s="18">
        <v>0.015</v>
      </c>
      <c r="Q27" s="18"/>
      <c r="R27" s="18"/>
      <c r="S27" s="18">
        <v>0.006</v>
      </c>
      <c r="T27" s="18"/>
      <c r="U27" s="18"/>
      <c r="V27" s="18">
        <v>0.01</v>
      </c>
      <c r="W27" s="18"/>
      <c r="X27" s="18">
        <v>0.008</v>
      </c>
      <c r="Y27" s="18"/>
      <c r="Z27" s="18">
        <v>0.024</v>
      </c>
      <c r="AA27" s="18">
        <v>0.012</v>
      </c>
      <c r="AB27" s="18">
        <v>0.014</v>
      </c>
      <c r="AC27" s="18"/>
      <c r="AD27" s="18">
        <v>0.01</v>
      </c>
      <c r="AE27" s="18">
        <v>0.011</v>
      </c>
      <c r="AF27" s="18">
        <f>0.01+0.01</f>
        <v>0.02</v>
      </c>
      <c r="AG27" s="18">
        <v>0.01</v>
      </c>
      <c r="AH27" s="18">
        <f>0.02+0.01</f>
        <v>0.03</v>
      </c>
      <c r="AI27" s="18">
        <v>0.01</v>
      </c>
      <c r="AJ27" s="18">
        <v>0.01</v>
      </c>
      <c r="AK27" s="18">
        <v>0.002</v>
      </c>
      <c r="AL27" s="18">
        <f>0.01+0.01</f>
        <v>0.02</v>
      </c>
      <c r="AM27" s="18"/>
      <c r="AN27" s="18">
        <v>0.01</v>
      </c>
      <c r="AO27" s="18">
        <v>0.008</v>
      </c>
      <c r="AP27" s="18">
        <f>0.008+0.001</f>
        <v>0.009000000000000001</v>
      </c>
      <c r="AQ27" s="18">
        <f>0.01+0.015+0.02</f>
        <v>0.045</v>
      </c>
      <c r="AR27" s="18"/>
      <c r="AS27" s="18">
        <v>0.001</v>
      </c>
      <c r="AT27" s="18">
        <v>0.004</v>
      </c>
      <c r="AU27" s="18"/>
      <c r="AV27" s="18">
        <v>0.015</v>
      </c>
      <c r="AW27" s="18">
        <v>0.01</v>
      </c>
      <c r="AX27" s="18">
        <v>0.01</v>
      </c>
      <c r="AY27" s="18"/>
      <c r="AZ27" s="18"/>
      <c r="BA27" s="18"/>
      <c r="BB27" s="18">
        <v>0.005</v>
      </c>
      <c r="BC27" s="18">
        <v>0.006</v>
      </c>
      <c r="BD27" s="18">
        <v>0.01</v>
      </c>
      <c r="BE27" s="18">
        <f>0.01+0.007</f>
        <v>0.017</v>
      </c>
      <c r="BF27" s="18">
        <v>0.01</v>
      </c>
      <c r="BG27" s="18">
        <v>0.01</v>
      </c>
      <c r="BH27" s="18">
        <v>0.01</v>
      </c>
      <c r="BI27" s="18"/>
      <c r="BJ27" s="18"/>
      <c r="BK27" s="18">
        <v>0.01</v>
      </c>
      <c r="BL27" s="18">
        <f>0.01+0.01</f>
        <v>0.02</v>
      </c>
      <c r="BM27" s="18"/>
      <c r="BN27" s="18">
        <v>0.01</v>
      </c>
      <c r="BO27" s="18">
        <v>0.01</v>
      </c>
      <c r="BP27" s="18">
        <v>0.02</v>
      </c>
      <c r="BQ27" s="18">
        <v>0.0325</v>
      </c>
      <c r="BR27" s="18">
        <v>0.015</v>
      </c>
      <c r="BS27" s="18">
        <v>0.01</v>
      </c>
      <c r="BT27" s="18">
        <v>0.004</v>
      </c>
      <c r="BU27" s="18">
        <v>0.01</v>
      </c>
      <c r="BV27" s="18">
        <v>0.02</v>
      </c>
      <c r="BW27" s="18"/>
      <c r="BX27" s="18">
        <v>0.002</v>
      </c>
      <c r="BY27" s="18">
        <v>0.1</v>
      </c>
      <c r="BZ27" s="18">
        <v>0.001</v>
      </c>
      <c r="CA27" s="18"/>
      <c r="CB27" s="18">
        <v>0.001</v>
      </c>
      <c r="CC27" s="18"/>
      <c r="CD27" s="18"/>
      <c r="CE27" s="18">
        <v>0.008</v>
      </c>
      <c r="CF27" s="18"/>
      <c r="CG27" s="18"/>
      <c r="CH27" s="18">
        <v>0.001</v>
      </c>
      <c r="CI27" s="18">
        <v>0.004</v>
      </c>
      <c r="CJ27" s="18"/>
      <c r="CK27" s="18">
        <f>0.002+0.014</f>
        <v>0.016</v>
      </c>
      <c r="CL27" s="18">
        <v>0.01</v>
      </c>
      <c r="CM27" s="18">
        <v>0.03</v>
      </c>
      <c r="CN27" s="18"/>
      <c r="CO27" s="18">
        <v>0.004</v>
      </c>
      <c r="CP27" s="18">
        <v>0.015</v>
      </c>
      <c r="CQ27" s="18"/>
      <c r="CR27" s="18">
        <v>0.01</v>
      </c>
      <c r="CS27" s="18">
        <v>0.003</v>
      </c>
      <c r="CT27" s="18">
        <f>0.016+0.01</f>
        <v>0.026000000000000002</v>
      </c>
      <c r="CU27" s="18">
        <v>0.015</v>
      </c>
      <c r="CV27" s="18"/>
      <c r="CW27" s="18"/>
      <c r="CX27" s="18">
        <v>0.044</v>
      </c>
      <c r="CY27" s="18">
        <v>0.025</v>
      </c>
      <c r="CZ27" s="18">
        <f>0.0225+0.01</f>
        <v>0.0325</v>
      </c>
      <c r="DA27" s="18">
        <v>0.025</v>
      </c>
      <c r="DB27" s="18">
        <v>0.04</v>
      </c>
      <c r="DC27" s="18">
        <f>0.025+0.027</f>
        <v>0.052000000000000005</v>
      </c>
      <c r="DD27" s="18"/>
      <c r="DE27" s="18"/>
      <c r="DF27" s="18"/>
      <c r="DG27" s="18">
        <f>0.057+0.0035</f>
        <v>0.060500000000000005</v>
      </c>
      <c r="DH27" s="18">
        <f>0.032+0.02+0.05</f>
        <v>0.10200000000000001</v>
      </c>
      <c r="DI27" s="18">
        <v>0.05</v>
      </c>
      <c r="DJ27" s="18"/>
      <c r="DK27" s="18">
        <f>0.1+0.01</f>
        <v>0.11</v>
      </c>
      <c r="DL27" s="18">
        <v>0.012</v>
      </c>
      <c r="DM27" s="18"/>
      <c r="DN27" s="18"/>
      <c r="DO27" s="18">
        <v>0.02</v>
      </c>
      <c r="DP27" s="18"/>
      <c r="DQ27" s="18">
        <v>0.04</v>
      </c>
      <c r="DR27" s="18"/>
      <c r="DS27" s="18">
        <v>0.07</v>
      </c>
      <c r="DT27" s="18">
        <f>0.0025+0.025</f>
        <v>0.0275</v>
      </c>
      <c r="DU27" s="18">
        <v>0.081</v>
      </c>
      <c r="DV27" s="18"/>
      <c r="DW27" s="18"/>
      <c r="DX27" s="18">
        <f>0.01+0.005+0.01</f>
        <v>0.025</v>
      </c>
      <c r="DY27" s="18">
        <v>0.02</v>
      </c>
      <c r="DZ27" s="18">
        <f>0.025+0.007+0.02</f>
        <v>0.052000000000000005</v>
      </c>
      <c r="EA27" s="18">
        <f>0.02+0.01</f>
        <v>0.03</v>
      </c>
      <c r="EB27" s="18">
        <f>0.005+0.01</f>
        <v>0.015</v>
      </c>
      <c r="EC27" s="18"/>
      <c r="ED27" s="18"/>
      <c r="EE27" s="18">
        <f>0.025+0.035</f>
        <v>0.060000000000000005</v>
      </c>
      <c r="EF27" s="18">
        <v>0.0095</v>
      </c>
      <c r="EG27" s="18"/>
      <c r="EH27" s="18">
        <f>0.0075+0.002</f>
        <v>0.0095</v>
      </c>
      <c r="EI27" s="18">
        <v>0.01</v>
      </c>
      <c r="EJ27" s="18"/>
      <c r="EK27" s="18">
        <f>0.0075+0.0025</f>
        <v>0.01</v>
      </c>
      <c r="EL27" s="18"/>
      <c r="EM27" s="18">
        <f>0.001+0.002</f>
        <v>0.003</v>
      </c>
      <c r="EN27" s="18">
        <f>0.005+0.01</f>
        <v>0.015</v>
      </c>
      <c r="EO27" s="18">
        <f>0.055+0.015</f>
        <v>0.07</v>
      </c>
      <c r="EP27" s="18"/>
      <c r="EQ27" s="18">
        <v>0.0205</v>
      </c>
      <c r="ER27" s="18">
        <f>0.0305+0.01</f>
        <v>0.0405</v>
      </c>
      <c r="ES27" s="18">
        <v>0.04</v>
      </c>
      <c r="ET27" s="18">
        <v>0.006</v>
      </c>
      <c r="EU27" s="18">
        <v>0.03</v>
      </c>
      <c r="EV27" s="18">
        <v>0.02</v>
      </c>
      <c r="EW27" s="18">
        <v>0.01</v>
      </c>
      <c r="EX27" s="18">
        <f>0.021+0.001</f>
        <v>0.022000000000000002</v>
      </c>
      <c r="EY27" s="18"/>
      <c r="EZ27" s="18">
        <v>0.021</v>
      </c>
      <c r="FA27" s="18">
        <f>0.001+0.017</f>
        <v>0.018000000000000002</v>
      </c>
      <c r="FB27" s="18">
        <v>0.021</v>
      </c>
      <c r="FC27" s="18">
        <v>0.021</v>
      </c>
      <c r="FD27" s="18">
        <v>0.017</v>
      </c>
      <c r="FE27" s="18">
        <v>0.017</v>
      </c>
      <c r="FF27" s="18">
        <f>0.06+0.1</f>
        <v>0.16</v>
      </c>
      <c r="FG27" s="18">
        <f>0.01+0.009</f>
        <v>0.019</v>
      </c>
      <c r="FH27" s="18"/>
      <c r="FI27" s="18">
        <v>0.013</v>
      </c>
      <c r="FJ27" s="18"/>
      <c r="FK27" s="18"/>
      <c r="FL27" s="18">
        <v>0.021</v>
      </c>
      <c r="FM27" s="18">
        <f>0.003+0.0126</f>
        <v>0.0156</v>
      </c>
      <c r="FN27" s="18">
        <v>0.0025</v>
      </c>
      <c r="FO27" s="18">
        <f>0.001+0.038</f>
        <v>0.039</v>
      </c>
      <c r="FP27" s="18">
        <v>0.01</v>
      </c>
      <c r="FQ27" s="18">
        <v>0.01</v>
      </c>
      <c r="FR27" s="18">
        <v>0.02</v>
      </c>
      <c r="FS27" s="18"/>
      <c r="FT27" s="18">
        <v>0.01</v>
      </c>
      <c r="FU27" s="18">
        <v>0.01</v>
      </c>
      <c r="FV27" s="18">
        <v>0.01</v>
      </c>
      <c r="FW27" s="18">
        <v>0.025</v>
      </c>
      <c r="FX27" s="18">
        <v>0.015</v>
      </c>
      <c r="FY27" s="18">
        <v>0.01</v>
      </c>
      <c r="FZ27" s="18">
        <v>0.03</v>
      </c>
      <c r="GA27" s="18">
        <v>0.01</v>
      </c>
      <c r="GB27" s="18">
        <f>0.018+0.006</f>
        <v>0.024</v>
      </c>
      <c r="GC27" s="18">
        <v>0.005</v>
      </c>
      <c r="GD27" s="18">
        <v>0.02</v>
      </c>
      <c r="GE27" s="18">
        <v>0.005</v>
      </c>
      <c r="GF27" s="18">
        <v>0.01</v>
      </c>
      <c r="GG27" s="18">
        <v>0.015</v>
      </c>
      <c r="GH27" s="18"/>
      <c r="GI27" s="18"/>
      <c r="GJ27" s="18"/>
      <c r="GK27" s="18"/>
      <c r="GL27" s="18"/>
      <c r="GM27" s="18">
        <v>0.1</v>
      </c>
      <c r="GN27" s="18"/>
      <c r="GO27" s="18">
        <v>0.02</v>
      </c>
      <c r="GP27" s="18">
        <v>0.03</v>
      </c>
      <c r="GQ27" s="18"/>
      <c r="GR27" s="18"/>
      <c r="GS27" s="18"/>
      <c r="GT27" s="18">
        <v>0.018</v>
      </c>
      <c r="GU27" s="18"/>
      <c r="GV27" s="18">
        <v>0.015</v>
      </c>
      <c r="GW27" s="18"/>
      <c r="GX27" s="18">
        <v>0.022</v>
      </c>
      <c r="GY27" s="18">
        <v>0.002</v>
      </c>
      <c r="GZ27" s="18">
        <v>0.01</v>
      </c>
      <c r="HA27" s="18"/>
      <c r="HB27" s="18"/>
      <c r="HC27" s="18"/>
      <c r="HD27" s="18">
        <v>0.002</v>
      </c>
      <c r="HE27" s="18"/>
      <c r="HF27" s="18"/>
      <c r="HG27" s="18">
        <v>0.025</v>
      </c>
      <c r="HH27" s="18">
        <f>0.001+0.005+0.003</f>
        <v>0.009000000000000001</v>
      </c>
      <c r="HI27" s="18">
        <v>0.009</v>
      </c>
      <c r="HJ27" s="18">
        <v>0.009</v>
      </c>
      <c r="HK27" s="18">
        <v>0.015</v>
      </c>
      <c r="HL27" s="18">
        <v>0.025</v>
      </c>
      <c r="HM27" s="18">
        <v>0.02</v>
      </c>
      <c r="HN27" s="18">
        <f>0.01+0.01</f>
        <v>0.02</v>
      </c>
      <c r="HO27" s="18">
        <f>0.03+0.01</f>
        <v>0.04</v>
      </c>
      <c r="HP27" s="18"/>
      <c r="HQ27" s="18"/>
      <c r="HR27" s="18"/>
      <c r="HS27" s="18">
        <v>0.0012</v>
      </c>
      <c r="HT27" s="18"/>
      <c r="HU27" s="18">
        <f>0.006+0.014</f>
        <v>0.02</v>
      </c>
      <c r="HV27" s="18">
        <v>0.002</v>
      </c>
      <c r="HW27" s="18">
        <f>0.008+0.013</f>
        <v>0.020999999999999998</v>
      </c>
      <c r="HX27" s="18">
        <f>0.01+0.04</f>
        <v>0.05</v>
      </c>
    </row>
    <row r="28" spans="1:232" ht="12.75" customHeight="1">
      <c r="A28" s="2"/>
      <c r="B28" s="5"/>
      <c r="C28" s="4" t="s">
        <v>0</v>
      </c>
      <c r="D28" s="18">
        <f t="shared" si="17"/>
        <v>2030.0860000000007</v>
      </c>
      <c r="E28" s="18">
        <f t="shared" si="18"/>
        <v>2030.0860000000007</v>
      </c>
      <c r="F28" s="33"/>
      <c r="G28" s="18"/>
      <c r="H28" s="18">
        <v>3.703</v>
      </c>
      <c r="I28" s="18">
        <f>5.676+20.042</f>
        <v>25.718000000000004</v>
      </c>
      <c r="J28" s="18">
        <v>2.469</v>
      </c>
      <c r="K28" s="18">
        <v>2.469</v>
      </c>
      <c r="L28" s="18">
        <v>2.469</v>
      </c>
      <c r="M28" s="18">
        <v>16.034</v>
      </c>
      <c r="N28" s="18"/>
      <c r="O28" s="18">
        <v>8.017</v>
      </c>
      <c r="P28" s="18">
        <v>13.877</v>
      </c>
      <c r="Q28" s="18"/>
      <c r="R28" s="18"/>
      <c r="S28" s="18">
        <v>0.74</v>
      </c>
      <c r="T28" s="18"/>
      <c r="U28" s="18"/>
      <c r="V28" s="18">
        <v>1.234</v>
      </c>
      <c r="W28" s="18"/>
      <c r="X28" s="18">
        <v>0.988</v>
      </c>
      <c r="Y28" s="18"/>
      <c r="Z28" s="18">
        <v>5.676</v>
      </c>
      <c r="AA28" s="18">
        <v>11.1</v>
      </c>
      <c r="AB28" s="18">
        <v>4.44</v>
      </c>
      <c r="AC28" s="18"/>
      <c r="AD28" s="18">
        <v>8.017</v>
      </c>
      <c r="AE28" s="18">
        <v>10.176</v>
      </c>
      <c r="AF28" s="18">
        <f>1.234+8.812</f>
        <v>10.046</v>
      </c>
      <c r="AG28" s="18">
        <v>1.234</v>
      </c>
      <c r="AH28" s="18">
        <f>2.469+8.812</f>
        <v>11.280999999999999</v>
      </c>
      <c r="AI28" s="18">
        <v>1.234</v>
      </c>
      <c r="AJ28" s="18">
        <v>1.234</v>
      </c>
      <c r="AK28" s="18">
        <v>2.469</v>
      </c>
      <c r="AL28" s="18">
        <f>1.234+8.812</f>
        <v>10.046</v>
      </c>
      <c r="AM28" s="18"/>
      <c r="AN28" s="18">
        <v>1.234</v>
      </c>
      <c r="AO28" s="18">
        <v>6.412</v>
      </c>
      <c r="AP28" s="18">
        <f>3.022+0.802</f>
        <v>3.824</v>
      </c>
      <c r="AQ28" s="18">
        <v>16.034</v>
      </c>
      <c r="AR28" s="18"/>
      <c r="AS28" s="18">
        <v>0.123</v>
      </c>
      <c r="AT28" s="18">
        <v>3.206</v>
      </c>
      <c r="AU28" s="18"/>
      <c r="AV28" s="18">
        <v>1.851</v>
      </c>
      <c r="AW28" s="18">
        <v>1.234</v>
      </c>
      <c r="AX28" s="18">
        <v>1.234</v>
      </c>
      <c r="AY28" s="18"/>
      <c r="AZ28" s="18"/>
      <c r="BA28" s="18"/>
      <c r="BB28" s="18">
        <v>0.617</v>
      </c>
      <c r="BC28" s="18">
        <v>4.81</v>
      </c>
      <c r="BD28" s="18">
        <v>1.234</v>
      </c>
      <c r="BE28" s="18">
        <v>5.611</v>
      </c>
      <c r="BF28" s="18">
        <v>1.234</v>
      </c>
      <c r="BG28" s="18">
        <v>10.245</v>
      </c>
      <c r="BH28" s="18">
        <v>1.234</v>
      </c>
      <c r="BI28" s="18"/>
      <c r="BJ28" s="18"/>
      <c r="BK28" s="18">
        <v>1.234</v>
      </c>
      <c r="BL28" s="18">
        <f>1.234+8.017</f>
        <v>9.251</v>
      </c>
      <c r="BM28" s="18"/>
      <c r="BN28" s="18">
        <v>1.234</v>
      </c>
      <c r="BO28" s="18">
        <v>1.234</v>
      </c>
      <c r="BP28" s="18">
        <v>2.469</v>
      </c>
      <c r="BQ28" s="18">
        <v>5.706</v>
      </c>
      <c r="BR28" s="18">
        <v>1.851</v>
      </c>
      <c r="BS28" s="18">
        <v>1.234</v>
      </c>
      <c r="BT28" s="18">
        <v>3.206</v>
      </c>
      <c r="BU28" s="18">
        <v>1.234</v>
      </c>
      <c r="BV28" s="18">
        <v>16.034</v>
      </c>
      <c r="BW28" s="18"/>
      <c r="BX28" s="18">
        <v>1.978</v>
      </c>
      <c r="BY28" s="18">
        <v>169.161</v>
      </c>
      <c r="BZ28" s="18">
        <v>0.802</v>
      </c>
      <c r="CA28" s="18"/>
      <c r="CB28" s="18">
        <v>0.802</v>
      </c>
      <c r="CC28" s="18"/>
      <c r="CD28" s="18"/>
      <c r="CE28" s="18">
        <v>6.412</v>
      </c>
      <c r="CF28" s="18"/>
      <c r="CG28" s="18"/>
      <c r="CH28" s="18">
        <v>0.802</v>
      </c>
      <c r="CI28" s="18">
        <v>3.206</v>
      </c>
      <c r="CJ28" s="18"/>
      <c r="CK28" s="18">
        <f>1.604+11.224</f>
        <v>12.828</v>
      </c>
      <c r="CL28" s="18">
        <v>8.017</v>
      </c>
      <c r="CM28" s="18">
        <v>24.05</v>
      </c>
      <c r="CN28" s="18"/>
      <c r="CO28" s="18">
        <v>3.206</v>
      </c>
      <c r="CP28" s="18">
        <v>5.243</v>
      </c>
      <c r="CQ28" s="18"/>
      <c r="CR28" s="18">
        <v>8.017</v>
      </c>
      <c r="CS28" s="18">
        <v>0.371</v>
      </c>
      <c r="CT28" s="18">
        <f>4.008+8.017</f>
        <v>12.024999999999999</v>
      </c>
      <c r="CU28" s="18">
        <v>14.493</v>
      </c>
      <c r="CV28" s="18"/>
      <c r="CW28" s="18"/>
      <c r="CX28" s="18">
        <v>35.273</v>
      </c>
      <c r="CY28" s="18">
        <v>3.086</v>
      </c>
      <c r="CZ28" s="18">
        <f>4.473+10.245</f>
        <v>14.718</v>
      </c>
      <c r="DA28" s="18">
        <v>3.086</v>
      </c>
      <c r="DB28" s="18">
        <v>5.731</v>
      </c>
      <c r="DC28" s="18">
        <f>3.086+21.646</f>
        <v>24.732</v>
      </c>
      <c r="DD28" s="18"/>
      <c r="DE28" s="18"/>
      <c r="DF28" s="18"/>
      <c r="DG28" s="18">
        <f>96.268+7.329</f>
        <v>103.597</v>
      </c>
      <c r="DH28" s="18">
        <f>49.403+16.034+6.17</f>
        <v>71.607</v>
      </c>
      <c r="DI28" s="18">
        <v>6.17</v>
      </c>
      <c r="DJ28" s="18"/>
      <c r="DK28" s="18">
        <f>191.086+8.017</f>
        <v>199.103</v>
      </c>
      <c r="DL28" s="18">
        <v>10.854</v>
      </c>
      <c r="DM28" s="18"/>
      <c r="DN28" s="18"/>
      <c r="DO28" s="18">
        <v>16.034</v>
      </c>
      <c r="DP28" s="18"/>
      <c r="DQ28" s="18">
        <v>4.937</v>
      </c>
      <c r="DR28" s="18"/>
      <c r="DS28" s="18">
        <v>8.64</v>
      </c>
      <c r="DT28" s="18">
        <f>0.309+22.031</f>
        <v>22.34</v>
      </c>
      <c r="DU28" s="18">
        <v>64.933</v>
      </c>
      <c r="DV28" s="18"/>
      <c r="DW28" s="18"/>
      <c r="DX28" s="18">
        <f>8.812+4.406+8.017</f>
        <v>21.235</v>
      </c>
      <c r="DY28" s="18">
        <v>2.469</v>
      </c>
      <c r="DZ28" s="18">
        <f>35.46+5.612+2.469</f>
        <v>43.541000000000004</v>
      </c>
      <c r="EA28" s="18">
        <f>2.469+8.017</f>
        <v>10.485999999999999</v>
      </c>
      <c r="EB28" s="18">
        <f>0.617+8.017</f>
        <v>8.634</v>
      </c>
      <c r="EC28" s="18"/>
      <c r="ED28" s="18"/>
      <c r="EE28" s="18">
        <f>22.031+4.32</f>
        <v>26.351</v>
      </c>
      <c r="EF28" s="18">
        <v>4.226</v>
      </c>
      <c r="EG28" s="18"/>
      <c r="EH28" s="18">
        <f>2.621+1.603</f>
        <v>4.224</v>
      </c>
      <c r="EI28" s="18">
        <v>1.234</v>
      </c>
      <c r="EJ28" s="18"/>
      <c r="EK28" s="18">
        <f>2.621+2.004</f>
        <v>4.625</v>
      </c>
      <c r="EL28" s="18"/>
      <c r="EM28" s="18">
        <f>0.802+1.603</f>
        <v>2.4050000000000002</v>
      </c>
      <c r="EN28" s="18">
        <f>4.007+8.017</f>
        <v>12.024</v>
      </c>
      <c r="EO28" s="18">
        <f>10.18+12.026</f>
        <v>22.206</v>
      </c>
      <c r="EP28" s="18"/>
      <c r="EQ28" s="18">
        <v>2.869</v>
      </c>
      <c r="ER28" s="18">
        <f>4.104+8.017</f>
        <v>12.120999999999999</v>
      </c>
      <c r="ES28" s="18">
        <v>4.937</v>
      </c>
      <c r="ET28" s="18">
        <v>4.81</v>
      </c>
      <c r="EU28" s="18">
        <v>3.703</v>
      </c>
      <c r="EV28" s="18">
        <v>2.469</v>
      </c>
      <c r="EW28" s="18">
        <v>8.017</v>
      </c>
      <c r="EX28" s="18">
        <f>16.836+0.802</f>
        <v>17.637999999999998</v>
      </c>
      <c r="EY28" s="18"/>
      <c r="EZ28" s="18">
        <v>16.836</v>
      </c>
      <c r="FA28" s="18">
        <f>0.802+13.629</f>
        <v>14.431</v>
      </c>
      <c r="FB28" s="18">
        <v>16.836</v>
      </c>
      <c r="FC28" s="18">
        <v>16.836</v>
      </c>
      <c r="FD28" s="18">
        <v>13.789</v>
      </c>
      <c r="FE28" s="18">
        <v>13.789</v>
      </c>
      <c r="FF28" s="18">
        <f>52.875+80.17</f>
        <v>133.04500000000002</v>
      </c>
      <c r="FG28" s="18">
        <f>1.234+6.895</f>
        <v>8.129</v>
      </c>
      <c r="FH28" s="18"/>
      <c r="FI28" s="18">
        <v>10.342</v>
      </c>
      <c r="FJ28" s="18"/>
      <c r="FK28" s="18"/>
      <c r="FL28" s="18">
        <v>17.237</v>
      </c>
      <c r="FM28" s="18">
        <f>2.404+10.101</f>
        <v>12.505</v>
      </c>
      <c r="FN28" s="18">
        <v>2.004</v>
      </c>
      <c r="FO28" s="18">
        <f>0.802+30.465</f>
        <v>31.267</v>
      </c>
      <c r="FP28" s="18">
        <v>8.017</v>
      </c>
      <c r="FQ28" s="18">
        <v>1.234</v>
      </c>
      <c r="FR28" s="18">
        <v>2.469</v>
      </c>
      <c r="FS28" s="18"/>
      <c r="FT28" s="18">
        <v>1.234</v>
      </c>
      <c r="FU28" s="18">
        <v>1.234</v>
      </c>
      <c r="FV28" s="18">
        <v>1.234</v>
      </c>
      <c r="FW28" s="18">
        <v>6.476</v>
      </c>
      <c r="FX28" s="18">
        <v>8.633</v>
      </c>
      <c r="FY28" s="18">
        <v>9.251</v>
      </c>
      <c r="FZ28" s="18">
        <v>4.298</v>
      </c>
      <c r="GA28" s="18">
        <v>9.251</v>
      </c>
      <c r="GB28" s="18">
        <f>4.256+4.81</f>
        <v>9.065999999999999</v>
      </c>
      <c r="GC28" s="18">
        <v>4.007</v>
      </c>
      <c r="GD28" s="18">
        <v>2.469</v>
      </c>
      <c r="GE28" s="18">
        <v>0.617</v>
      </c>
      <c r="GF28" s="18">
        <v>8.812</v>
      </c>
      <c r="GG28" s="18">
        <v>1.851</v>
      </c>
      <c r="GH28" s="18"/>
      <c r="GI28" s="18"/>
      <c r="GJ28" s="18"/>
      <c r="GK28" s="18"/>
      <c r="GL28" s="18"/>
      <c r="GM28" s="18">
        <v>88.124</v>
      </c>
      <c r="GN28" s="18"/>
      <c r="GO28" s="18">
        <v>16.526</v>
      </c>
      <c r="GP28" s="18">
        <v>17.267</v>
      </c>
      <c r="GQ28" s="18"/>
      <c r="GR28" s="18"/>
      <c r="GS28" s="18"/>
      <c r="GT28" s="18">
        <v>21.093</v>
      </c>
      <c r="GU28" s="18"/>
      <c r="GV28" s="18">
        <v>1.851</v>
      </c>
      <c r="GW28" s="18"/>
      <c r="GX28" s="18">
        <v>17.637</v>
      </c>
      <c r="GY28" s="18">
        <v>1.603</v>
      </c>
      <c r="GZ28" s="18">
        <v>1.234</v>
      </c>
      <c r="HA28" s="18"/>
      <c r="HB28" s="18"/>
      <c r="HC28" s="18"/>
      <c r="HD28" s="18">
        <v>0.247</v>
      </c>
      <c r="HE28" s="18"/>
      <c r="HF28" s="18"/>
      <c r="HG28" s="18">
        <v>3.086</v>
      </c>
      <c r="HH28" s="18">
        <f>0.802+4.406+2.405</f>
        <v>7.6129999999999995</v>
      </c>
      <c r="HI28" s="18">
        <v>7.215</v>
      </c>
      <c r="HJ28" s="18">
        <v>7.215</v>
      </c>
      <c r="HK28" s="18">
        <v>1.851</v>
      </c>
      <c r="HL28" s="18">
        <v>3.086</v>
      </c>
      <c r="HM28" s="18">
        <v>2.469</v>
      </c>
      <c r="HN28" s="18">
        <f>8.017+8.812</f>
        <v>16.829</v>
      </c>
      <c r="HO28" s="18">
        <f>3.703+8.812</f>
        <v>12.514999999999999</v>
      </c>
      <c r="HP28" s="18"/>
      <c r="HQ28" s="18"/>
      <c r="HR28" s="18"/>
      <c r="HS28" s="18">
        <v>0.962</v>
      </c>
      <c r="HT28" s="18"/>
      <c r="HU28" s="18">
        <f>4.81+11.224</f>
        <v>16.034</v>
      </c>
      <c r="HV28" s="18">
        <v>0.247</v>
      </c>
      <c r="HW28" s="18">
        <f>0.988+10.342</f>
        <v>11.33</v>
      </c>
      <c r="HX28" s="18">
        <f>8.812+32.068</f>
        <v>40.879999999999995</v>
      </c>
    </row>
    <row r="29" spans="1:232" ht="12.75" customHeight="1">
      <c r="A29" s="2" t="s">
        <v>10</v>
      </c>
      <c r="B29" s="9" t="s">
        <v>303</v>
      </c>
      <c r="C29" s="4" t="s">
        <v>11</v>
      </c>
      <c r="D29" s="18">
        <f t="shared" si="17"/>
        <v>91.97200000000007</v>
      </c>
      <c r="E29" s="18">
        <f t="shared" si="18"/>
        <v>91.97200000000007</v>
      </c>
      <c r="F29" s="33"/>
      <c r="G29" s="18">
        <f>0.294+0.444</f>
        <v>0.738</v>
      </c>
      <c r="H29" s="18"/>
      <c r="I29" s="18"/>
      <c r="J29" s="18"/>
      <c r="K29" s="18">
        <v>0.408</v>
      </c>
      <c r="L29" s="18"/>
      <c r="M29" s="18">
        <f>0.279+0.283</f>
        <v>0.562</v>
      </c>
      <c r="N29" s="18">
        <f>0.288+0.288</f>
        <v>0.576</v>
      </c>
      <c r="O29" s="18"/>
      <c r="P29" s="18">
        <v>0.469</v>
      </c>
      <c r="Q29" s="18">
        <v>0.282</v>
      </c>
      <c r="R29" s="18">
        <f>0.278+0.278</f>
        <v>0.556</v>
      </c>
      <c r="S29" s="18">
        <f>0.272+0.272</f>
        <v>0.544</v>
      </c>
      <c r="T29" s="18">
        <f>0.277+0.283</f>
        <v>0.56</v>
      </c>
      <c r="U29" s="18"/>
      <c r="V29" s="18"/>
      <c r="W29" s="18">
        <v>0.278</v>
      </c>
      <c r="X29" s="18"/>
      <c r="Y29" s="18"/>
      <c r="Z29" s="18"/>
      <c r="AA29" s="18"/>
      <c r="AB29" s="18"/>
      <c r="AC29" s="18">
        <f>0.685+0.63</f>
        <v>1.315</v>
      </c>
      <c r="AD29" s="18">
        <v>0.399</v>
      </c>
      <c r="AE29" s="18"/>
      <c r="AF29" s="18"/>
      <c r="AG29" s="18"/>
      <c r="AH29" s="18"/>
      <c r="AI29" s="18">
        <v>0.466</v>
      </c>
      <c r="AJ29" s="18"/>
      <c r="AK29" s="18"/>
      <c r="AL29" s="18"/>
      <c r="AM29" s="18"/>
      <c r="AN29" s="18">
        <f>0.643+0.699</f>
        <v>1.342</v>
      </c>
      <c r="AO29" s="18"/>
      <c r="AP29" s="18">
        <v>0.301</v>
      </c>
      <c r="AQ29" s="18">
        <v>0.375</v>
      </c>
      <c r="AR29" s="18">
        <v>0.85</v>
      </c>
      <c r="AS29" s="18"/>
      <c r="AT29" s="18"/>
      <c r="AU29" s="18"/>
      <c r="AV29" s="18"/>
      <c r="AW29" s="18"/>
      <c r="AX29" s="18">
        <v>0.724</v>
      </c>
      <c r="AY29" s="18">
        <v>0.46</v>
      </c>
      <c r="AZ29" s="18"/>
      <c r="BA29" s="18">
        <v>0.349</v>
      </c>
      <c r="BB29" s="18"/>
      <c r="BC29" s="18">
        <v>0.381</v>
      </c>
      <c r="BD29" s="18"/>
      <c r="BE29" s="18"/>
      <c r="BF29" s="18"/>
      <c r="BG29" s="18"/>
      <c r="BH29" s="18">
        <v>0.346</v>
      </c>
      <c r="BI29" s="18">
        <v>0.334</v>
      </c>
      <c r="BJ29" s="18">
        <f>0.708+0.62</f>
        <v>1.3279999999999998</v>
      </c>
      <c r="BK29" s="18">
        <f>0.458+0.344</f>
        <v>0.802</v>
      </c>
      <c r="BL29" s="18"/>
      <c r="BM29" s="18"/>
      <c r="BN29" s="18"/>
      <c r="BO29" s="18"/>
      <c r="BP29" s="18">
        <v>0.737</v>
      </c>
      <c r="BQ29" s="18">
        <f>1.7+0.387+0.546</f>
        <v>2.633</v>
      </c>
      <c r="BR29" s="18"/>
      <c r="BS29" s="18"/>
      <c r="BT29" s="18"/>
      <c r="BU29" s="18"/>
      <c r="BV29" s="18"/>
      <c r="BW29" s="18">
        <f>0.542+0.577</f>
        <v>1.119</v>
      </c>
      <c r="BX29" s="18">
        <f>0.406+0.347</f>
        <v>0.753</v>
      </c>
      <c r="BY29" s="18">
        <f>0.404+0.37</f>
        <v>0.774</v>
      </c>
      <c r="BZ29" s="18">
        <f>0.506+0.572</f>
        <v>1.0779999999999998</v>
      </c>
      <c r="CA29" s="18"/>
      <c r="CB29" s="18">
        <f>0.271+0.271</f>
        <v>0.542</v>
      </c>
      <c r="CC29" s="18"/>
      <c r="CD29" s="18"/>
      <c r="CE29" s="18">
        <f>0.362+0.362</f>
        <v>0.724</v>
      </c>
      <c r="CF29" s="10"/>
      <c r="CG29" s="18"/>
      <c r="CH29" s="18">
        <f>0.595+0.595</f>
        <v>1.19</v>
      </c>
      <c r="CI29" s="18"/>
      <c r="CJ29" s="18">
        <f>0.65+0.65</f>
        <v>1.3</v>
      </c>
      <c r="CK29" s="18"/>
      <c r="CL29" s="18">
        <v>0.355</v>
      </c>
      <c r="CM29" s="18">
        <f>0.447+0.366</f>
        <v>0.813</v>
      </c>
      <c r="CN29" s="18"/>
      <c r="CO29" s="18"/>
      <c r="CP29" s="18">
        <v>1.237</v>
      </c>
      <c r="CQ29" s="18">
        <f>0.34+0.34</f>
        <v>0.68</v>
      </c>
      <c r="CR29" s="18">
        <v>0.787</v>
      </c>
      <c r="CS29" s="18">
        <f>0.305+0.305</f>
        <v>0.61</v>
      </c>
      <c r="CT29" s="18">
        <f>0.296+0.497</f>
        <v>0.7929999999999999</v>
      </c>
      <c r="CU29" s="18"/>
      <c r="CV29" s="18">
        <v>0.325</v>
      </c>
      <c r="CW29" s="18">
        <f>0.643+0.579</f>
        <v>1.222</v>
      </c>
      <c r="CX29" s="18">
        <v>0.411</v>
      </c>
      <c r="CY29" s="18"/>
      <c r="CZ29" s="18">
        <v>0.352</v>
      </c>
      <c r="DA29" s="18"/>
      <c r="DB29" s="18"/>
      <c r="DC29" s="18">
        <f>0.366+0.301</f>
        <v>0.667</v>
      </c>
      <c r="DD29" s="18"/>
      <c r="DE29" s="18">
        <v>0.398</v>
      </c>
      <c r="DF29" s="18">
        <v>0.398</v>
      </c>
      <c r="DG29" s="18">
        <f>1.237+1.27</f>
        <v>2.507</v>
      </c>
      <c r="DH29" s="18"/>
      <c r="DI29" s="18">
        <f>0.808+1.067+0.807</f>
        <v>2.682</v>
      </c>
      <c r="DJ29" s="18"/>
      <c r="DK29" s="18">
        <f>1.021+0.748+1.254</f>
        <v>3.0229999999999997</v>
      </c>
      <c r="DL29" s="18"/>
      <c r="DM29" s="18">
        <f>0.284+0.285</f>
        <v>0.569</v>
      </c>
      <c r="DN29" s="18"/>
      <c r="DO29" s="18"/>
      <c r="DP29" s="18"/>
      <c r="DQ29" s="18">
        <f>0.369+0.57</f>
        <v>0.939</v>
      </c>
      <c r="DR29" s="18">
        <v>0.277</v>
      </c>
      <c r="DS29" s="18">
        <f>1.771+0.716</f>
        <v>2.487</v>
      </c>
      <c r="DT29" s="18">
        <f>2.878+1.04</f>
        <v>3.918</v>
      </c>
      <c r="DU29" s="18"/>
      <c r="DV29" s="18"/>
      <c r="DW29" s="18">
        <f>2.665+1</f>
        <v>3.665</v>
      </c>
      <c r="DX29" s="18">
        <f>1.087+1.094+1.091+1.091</f>
        <v>4.363</v>
      </c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>
        <v>0.336</v>
      </c>
      <c r="EK29" s="18"/>
      <c r="EL29" s="18"/>
      <c r="EM29" s="18"/>
      <c r="EN29" s="18"/>
      <c r="EO29" s="18"/>
      <c r="EP29" s="18"/>
      <c r="EQ29" s="18">
        <v>0.426</v>
      </c>
      <c r="ER29" s="18">
        <f>0.447+0.367</f>
        <v>0.8140000000000001</v>
      </c>
      <c r="ES29" s="18">
        <f>1.486+0.382</f>
        <v>1.8679999999999999</v>
      </c>
      <c r="ET29" s="18">
        <f>0.311+0.317</f>
        <v>0.628</v>
      </c>
      <c r="EU29" s="18">
        <f>0.368+0.369</f>
        <v>0.737</v>
      </c>
      <c r="EV29" s="18">
        <f>0.374+0.372</f>
        <v>0.746</v>
      </c>
      <c r="EW29" s="18"/>
      <c r="EX29" s="18">
        <f>0.29+0.289+0.289</f>
        <v>0.8679999999999999</v>
      </c>
      <c r="EY29" s="18">
        <f>0.586+0.425+0.46</f>
        <v>1.4709999999999999</v>
      </c>
      <c r="EZ29" s="18">
        <f>0.287</f>
        <v>0.287</v>
      </c>
      <c r="FA29" s="18">
        <f>0.279+0.276</f>
        <v>0.555</v>
      </c>
      <c r="FB29" s="18">
        <f>0.286+0.286</f>
        <v>0.572</v>
      </c>
      <c r="FC29" s="18">
        <f>0.289+0.289</f>
        <v>0.578</v>
      </c>
      <c r="FD29" s="18">
        <f>0.279+0.279</f>
        <v>0.558</v>
      </c>
      <c r="FE29" s="18"/>
      <c r="FF29" s="18"/>
      <c r="FG29" s="18">
        <f>0.288+0.288+0.288</f>
        <v>0.8639999999999999</v>
      </c>
      <c r="FH29" s="18">
        <f>1.761+0.957</f>
        <v>2.718</v>
      </c>
      <c r="FI29" s="18"/>
      <c r="FJ29" s="18">
        <v>2.29</v>
      </c>
      <c r="FK29" s="18"/>
      <c r="FL29" s="18">
        <f>0.304+0.304</f>
        <v>0.608</v>
      </c>
      <c r="FM29" s="18"/>
      <c r="FN29" s="34">
        <v>0.608</v>
      </c>
      <c r="FO29" s="18">
        <f>0.286+0.286+0.286</f>
        <v>0.8579999999999999</v>
      </c>
      <c r="FP29" s="18"/>
      <c r="FQ29" s="18"/>
      <c r="FR29" s="18">
        <v>0.561</v>
      </c>
      <c r="FS29" s="18"/>
      <c r="FT29" s="18"/>
      <c r="FU29" s="18"/>
      <c r="FV29" s="18"/>
      <c r="FW29" s="18">
        <v>0.285</v>
      </c>
      <c r="FX29" s="18">
        <v>0.535</v>
      </c>
      <c r="FY29" s="18"/>
      <c r="FZ29" s="18"/>
      <c r="GA29" s="18">
        <f>0.332+0.331</f>
        <v>0.663</v>
      </c>
      <c r="GB29" s="18"/>
      <c r="GC29" s="18">
        <v>0.745</v>
      </c>
      <c r="GD29" s="18"/>
      <c r="GE29" s="18"/>
      <c r="GF29" s="18"/>
      <c r="GG29" s="18"/>
      <c r="GH29" s="18"/>
      <c r="GI29" s="18"/>
      <c r="GJ29" s="18">
        <v>0.29</v>
      </c>
      <c r="GK29" s="18"/>
      <c r="GL29" s="18">
        <f>0.594+0.604</f>
        <v>1.198</v>
      </c>
      <c r="GM29" s="18"/>
      <c r="GN29" s="18">
        <f>0.284+0.284</f>
        <v>0.568</v>
      </c>
      <c r="GO29" s="18"/>
      <c r="GP29" s="18"/>
      <c r="GQ29" s="18">
        <f>0.331</f>
        <v>0.331</v>
      </c>
      <c r="GR29" s="18"/>
      <c r="GS29" s="18"/>
      <c r="GT29" s="18">
        <f>0.302+0.302+0.302</f>
        <v>0.9059999999999999</v>
      </c>
      <c r="GU29" s="18"/>
      <c r="GV29" s="18">
        <f>0.289+0.289</f>
        <v>0.578</v>
      </c>
      <c r="GW29" s="18">
        <f>0.98+0.675</f>
        <v>1.655</v>
      </c>
      <c r="GX29" s="18"/>
      <c r="GY29" s="18"/>
      <c r="GZ29" s="18"/>
      <c r="HA29" s="18"/>
      <c r="HB29" s="18"/>
      <c r="HC29" s="18"/>
      <c r="HD29" s="18">
        <v>0.325</v>
      </c>
      <c r="HE29" s="18">
        <v>0.371</v>
      </c>
      <c r="HF29" s="18">
        <v>0.516</v>
      </c>
      <c r="HG29" s="18">
        <f>1.523</f>
        <v>1.523</v>
      </c>
      <c r="HH29" s="18">
        <v>0.318</v>
      </c>
      <c r="HI29" s="18">
        <f>0.317+0.304</f>
        <v>0.621</v>
      </c>
      <c r="HJ29" s="18">
        <f>0.284+0.284</f>
        <v>0.568</v>
      </c>
      <c r="HK29" s="18"/>
      <c r="HL29" s="18"/>
      <c r="HM29" s="18">
        <f>0.287+0.287</f>
        <v>0.574</v>
      </c>
      <c r="HN29" s="18"/>
      <c r="HO29" s="18">
        <f>0.313+0.317</f>
        <v>0.63</v>
      </c>
      <c r="HP29" s="18">
        <v>0.283</v>
      </c>
      <c r="HQ29" s="18"/>
      <c r="HR29" s="18"/>
      <c r="HS29" s="18"/>
      <c r="HT29" s="18"/>
      <c r="HU29" s="18"/>
      <c r="HV29" s="18"/>
      <c r="HW29" s="18"/>
      <c r="HX29" s="18">
        <f>0.465</f>
        <v>0.465</v>
      </c>
    </row>
    <row r="30" spans="1:232" ht="12.75" customHeight="1">
      <c r="A30" s="2"/>
      <c r="B30" s="8"/>
      <c r="C30" s="4" t="s">
        <v>37</v>
      </c>
      <c r="D30" s="18">
        <f t="shared" si="17"/>
        <v>170</v>
      </c>
      <c r="E30" s="18">
        <f t="shared" si="18"/>
        <v>170</v>
      </c>
      <c r="F30" s="33"/>
      <c r="G30" s="18">
        <f>1+1</f>
        <v>2</v>
      </c>
      <c r="H30" s="18"/>
      <c r="I30" s="18"/>
      <c r="J30" s="18"/>
      <c r="K30" s="18">
        <v>1</v>
      </c>
      <c r="L30" s="18"/>
      <c r="M30" s="18">
        <f>1+1</f>
        <v>2</v>
      </c>
      <c r="N30" s="18">
        <f>1+1</f>
        <v>2</v>
      </c>
      <c r="O30" s="18"/>
      <c r="P30" s="18">
        <v>1</v>
      </c>
      <c r="Q30" s="18">
        <v>1</v>
      </c>
      <c r="R30" s="18">
        <f>1+1</f>
        <v>2</v>
      </c>
      <c r="S30" s="18">
        <f>1+1</f>
        <v>2</v>
      </c>
      <c r="T30" s="18">
        <f>1+1</f>
        <v>2</v>
      </c>
      <c r="U30" s="18"/>
      <c r="V30" s="18"/>
      <c r="W30" s="18">
        <v>1</v>
      </c>
      <c r="X30" s="18"/>
      <c r="Y30" s="18"/>
      <c r="Z30" s="18"/>
      <c r="AA30" s="18"/>
      <c r="AB30" s="18"/>
      <c r="AC30" s="18">
        <f>1+1</f>
        <v>2</v>
      </c>
      <c r="AD30" s="18">
        <v>1</v>
      </c>
      <c r="AE30" s="18"/>
      <c r="AF30" s="18"/>
      <c r="AG30" s="18"/>
      <c r="AH30" s="18"/>
      <c r="AI30" s="18">
        <v>1</v>
      </c>
      <c r="AJ30" s="18"/>
      <c r="AK30" s="18"/>
      <c r="AL30" s="18"/>
      <c r="AM30" s="18"/>
      <c r="AN30" s="18">
        <f>1+1</f>
        <v>2</v>
      </c>
      <c r="AO30" s="18"/>
      <c r="AP30" s="18">
        <v>1</v>
      </c>
      <c r="AQ30" s="18">
        <v>1</v>
      </c>
      <c r="AR30" s="18">
        <v>1</v>
      </c>
      <c r="AS30" s="18"/>
      <c r="AT30" s="18"/>
      <c r="AU30" s="18"/>
      <c r="AV30" s="18"/>
      <c r="AW30" s="18"/>
      <c r="AX30" s="18">
        <v>1</v>
      </c>
      <c r="AY30" s="18">
        <v>1</v>
      </c>
      <c r="AZ30" s="18"/>
      <c r="BA30" s="18">
        <v>1</v>
      </c>
      <c r="BB30" s="18"/>
      <c r="BC30" s="18">
        <v>1</v>
      </c>
      <c r="BD30" s="18"/>
      <c r="BE30" s="18"/>
      <c r="BF30" s="18"/>
      <c r="BG30" s="18"/>
      <c r="BH30" s="18">
        <v>1</v>
      </c>
      <c r="BI30" s="18">
        <v>1</v>
      </c>
      <c r="BJ30" s="18">
        <f>1+1</f>
        <v>2</v>
      </c>
      <c r="BK30" s="18">
        <v>2</v>
      </c>
      <c r="BL30" s="18"/>
      <c r="BM30" s="18"/>
      <c r="BN30" s="18"/>
      <c r="BO30" s="18"/>
      <c r="BP30" s="18">
        <v>1</v>
      </c>
      <c r="BQ30" s="18">
        <f>1+1+1</f>
        <v>3</v>
      </c>
      <c r="BR30" s="18"/>
      <c r="BS30" s="18"/>
      <c r="BT30" s="18"/>
      <c r="BU30" s="18"/>
      <c r="BV30" s="18"/>
      <c r="BW30" s="18">
        <f>1+1</f>
        <v>2</v>
      </c>
      <c r="BX30" s="18">
        <f>1+1</f>
        <v>2</v>
      </c>
      <c r="BY30" s="18">
        <f>1+1</f>
        <v>2</v>
      </c>
      <c r="BZ30" s="18">
        <f>1+1</f>
        <v>2</v>
      </c>
      <c r="CA30" s="18"/>
      <c r="CB30" s="18">
        <v>2</v>
      </c>
      <c r="CC30" s="18"/>
      <c r="CD30" s="18"/>
      <c r="CE30" s="18">
        <v>2</v>
      </c>
      <c r="CF30" s="10"/>
      <c r="CG30" s="18"/>
      <c r="CH30" s="18">
        <f>1+1</f>
        <v>2</v>
      </c>
      <c r="CI30" s="18"/>
      <c r="CJ30" s="18">
        <f>1+1</f>
        <v>2</v>
      </c>
      <c r="CK30" s="18"/>
      <c r="CL30" s="18">
        <v>1</v>
      </c>
      <c r="CM30" s="18">
        <f>1+1</f>
        <v>2</v>
      </c>
      <c r="CN30" s="18"/>
      <c r="CO30" s="18"/>
      <c r="CP30" s="18">
        <v>1</v>
      </c>
      <c r="CQ30" s="18">
        <f>1+1</f>
        <v>2</v>
      </c>
      <c r="CR30" s="18">
        <v>1</v>
      </c>
      <c r="CS30" s="18">
        <f>1+1</f>
        <v>2</v>
      </c>
      <c r="CT30" s="18">
        <f>1+1</f>
        <v>2</v>
      </c>
      <c r="CU30" s="18"/>
      <c r="CV30" s="18">
        <v>1</v>
      </c>
      <c r="CW30" s="18">
        <f>1+1</f>
        <v>2</v>
      </c>
      <c r="CX30" s="18">
        <v>1</v>
      </c>
      <c r="CY30" s="18"/>
      <c r="CZ30" s="18">
        <v>1</v>
      </c>
      <c r="DA30" s="18"/>
      <c r="DB30" s="18"/>
      <c r="DC30" s="18">
        <f>1+1</f>
        <v>2</v>
      </c>
      <c r="DD30" s="18"/>
      <c r="DE30" s="18">
        <v>1</v>
      </c>
      <c r="DF30" s="18">
        <v>1</v>
      </c>
      <c r="DG30" s="18">
        <f>1+1</f>
        <v>2</v>
      </c>
      <c r="DH30" s="18"/>
      <c r="DI30" s="18">
        <f>1+1+1</f>
        <v>3</v>
      </c>
      <c r="DJ30" s="18"/>
      <c r="DK30" s="18">
        <f>1+1+1</f>
        <v>3</v>
      </c>
      <c r="DL30" s="18"/>
      <c r="DM30" s="18">
        <f>1+1</f>
        <v>2</v>
      </c>
      <c r="DN30" s="18"/>
      <c r="DO30" s="18"/>
      <c r="DP30" s="18"/>
      <c r="DQ30" s="18">
        <v>2</v>
      </c>
      <c r="DR30" s="18">
        <v>1</v>
      </c>
      <c r="DS30" s="18">
        <f>1+1</f>
        <v>2</v>
      </c>
      <c r="DT30" s="18">
        <f>1+1</f>
        <v>2</v>
      </c>
      <c r="DU30" s="18"/>
      <c r="DV30" s="18"/>
      <c r="DW30" s="18">
        <f>1+1</f>
        <v>2</v>
      </c>
      <c r="DX30" s="18">
        <f>1+1+1+1</f>
        <v>4</v>
      </c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>
        <v>1</v>
      </c>
      <c r="EK30" s="18"/>
      <c r="EL30" s="18"/>
      <c r="EM30" s="18"/>
      <c r="EN30" s="18"/>
      <c r="EO30" s="18"/>
      <c r="EP30" s="18"/>
      <c r="EQ30" s="18">
        <v>1</v>
      </c>
      <c r="ER30" s="18">
        <f>1+1</f>
        <v>2</v>
      </c>
      <c r="ES30" s="18">
        <f>1+1</f>
        <v>2</v>
      </c>
      <c r="ET30" s="18">
        <f>1+1</f>
        <v>2</v>
      </c>
      <c r="EU30" s="18">
        <f>1+1</f>
        <v>2</v>
      </c>
      <c r="EV30" s="18">
        <f>1+1</f>
        <v>2</v>
      </c>
      <c r="EW30" s="18"/>
      <c r="EX30" s="18">
        <f>1+1+1</f>
        <v>3</v>
      </c>
      <c r="EY30" s="18">
        <f>1+1+1</f>
        <v>3</v>
      </c>
      <c r="EZ30" s="18">
        <v>1</v>
      </c>
      <c r="FA30" s="18">
        <f>1+1</f>
        <v>2</v>
      </c>
      <c r="FB30" s="18">
        <f>1+1</f>
        <v>2</v>
      </c>
      <c r="FC30" s="18">
        <f>1+1</f>
        <v>2</v>
      </c>
      <c r="FD30" s="18">
        <f>1+1</f>
        <v>2</v>
      </c>
      <c r="FE30" s="18"/>
      <c r="FF30" s="18"/>
      <c r="FG30" s="18">
        <f>1+1+1</f>
        <v>3</v>
      </c>
      <c r="FH30" s="18">
        <v>1</v>
      </c>
      <c r="FI30" s="18"/>
      <c r="FJ30" s="18">
        <v>1</v>
      </c>
      <c r="FK30" s="18"/>
      <c r="FL30" s="18">
        <f>1+1</f>
        <v>2</v>
      </c>
      <c r="FM30" s="18"/>
      <c r="FN30" s="34">
        <v>1</v>
      </c>
      <c r="FO30" s="18">
        <f>1+1+1</f>
        <v>3</v>
      </c>
      <c r="FP30" s="18"/>
      <c r="FQ30" s="18"/>
      <c r="FR30" s="18">
        <v>1</v>
      </c>
      <c r="FS30" s="18"/>
      <c r="FT30" s="18"/>
      <c r="FU30" s="18"/>
      <c r="FV30" s="18"/>
      <c r="FW30" s="18">
        <v>1</v>
      </c>
      <c r="FX30" s="18">
        <v>1</v>
      </c>
      <c r="FY30" s="18"/>
      <c r="FZ30" s="18"/>
      <c r="GA30" s="18">
        <f>1+1</f>
        <v>2</v>
      </c>
      <c r="GB30" s="18"/>
      <c r="GC30" s="18">
        <v>1</v>
      </c>
      <c r="GD30" s="18"/>
      <c r="GE30" s="18"/>
      <c r="GF30" s="18"/>
      <c r="GG30" s="18"/>
      <c r="GH30" s="18"/>
      <c r="GI30" s="18"/>
      <c r="GJ30" s="18">
        <v>1</v>
      </c>
      <c r="GK30" s="18"/>
      <c r="GL30" s="18">
        <f>1+1</f>
        <v>2</v>
      </c>
      <c r="GM30" s="18"/>
      <c r="GN30" s="18">
        <f>1+1</f>
        <v>2</v>
      </c>
      <c r="GO30" s="18"/>
      <c r="GP30" s="18"/>
      <c r="GQ30" s="18">
        <f>1</f>
        <v>1</v>
      </c>
      <c r="GR30" s="18"/>
      <c r="GS30" s="18"/>
      <c r="GT30" s="18">
        <f>1+1+1</f>
        <v>3</v>
      </c>
      <c r="GU30" s="18"/>
      <c r="GV30" s="18">
        <f>1+1</f>
        <v>2</v>
      </c>
      <c r="GW30" s="18">
        <f>1+1</f>
        <v>2</v>
      </c>
      <c r="GX30" s="18"/>
      <c r="GY30" s="18"/>
      <c r="GZ30" s="18"/>
      <c r="HA30" s="18"/>
      <c r="HB30" s="18"/>
      <c r="HC30" s="18"/>
      <c r="HD30" s="18">
        <v>1</v>
      </c>
      <c r="HE30" s="18">
        <v>1</v>
      </c>
      <c r="HF30" s="18">
        <v>1</v>
      </c>
      <c r="HG30" s="18">
        <f>1</f>
        <v>1</v>
      </c>
      <c r="HH30" s="18">
        <v>1</v>
      </c>
      <c r="HI30" s="18">
        <f>1+1</f>
        <v>2</v>
      </c>
      <c r="HJ30" s="18">
        <v>2</v>
      </c>
      <c r="HK30" s="18"/>
      <c r="HL30" s="18"/>
      <c r="HM30" s="18">
        <f>1+1</f>
        <v>2</v>
      </c>
      <c r="HN30" s="18"/>
      <c r="HO30" s="18">
        <f>1+1</f>
        <v>2</v>
      </c>
      <c r="HP30" s="18">
        <v>1</v>
      </c>
      <c r="HQ30" s="18"/>
      <c r="HR30" s="18"/>
      <c r="HS30" s="18"/>
      <c r="HT30" s="18"/>
      <c r="HU30" s="18"/>
      <c r="HV30" s="18"/>
      <c r="HW30" s="18"/>
      <c r="HX30" s="18">
        <f>1</f>
        <v>1</v>
      </c>
    </row>
    <row r="31" spans="1:232" ht="12.75" customHeight="1">
      <c r="A31" s="2"/>
      <c r="B31" s="8"/>
      <c r="C31" s="4" t="s">
        <v>0</v>
      </c>
      <c r="D31" s="18">
        <f t="shared" si="17"/>
        <v>26399.253999999986</v>
      </c>
      <c r="E31" s="18">
        <f t="shared" si="18"/>
        <v>26399.253999999986</v>
      </c>
      <c r="F31" s="33"/>
      <c r="G31" s="18">
        <f>113.855+135.422</f>
        <v>249.277</v>
      </c>
      <c r="H31" s="18"/>
      <c r="I31" s="18"/>
      <c r="J31" s="18"/>
      <c r="K31" s="18">
        <v>132.421</v>
      </c>
      <c r="L31" s="18"/>
      <c r="M31" s="18">
        <f>81.245+79.548</f>
        <v>160.793</v>
      </c>
      <c r="N31" s="18">
        <f>78.936+80.021</f>
        <v>158.957</v>
      </c>
      <c r="O31" s="18"/>
      <c r="P31" s="18">
        <v>135.653</v>
      </c>
      <c r="Q31" s="18">
        <v>79.835</v>
      </c>
      <c r="R31" s="18">
        <f>98.071+66.763</f>
        <v>164.834</v>
      </c>
      <c r="S31" s="18">
        <f>85.248+83.332</f>
        <v>168.57999999999998</v>
      </c>
      <c r="T31" s="18">
        <f>77.592+122.863</f>
        <v>200.45499999999998</v>
      </c>
      <c r="U31" s="18"/>
      <c r="V31" s="18"/>
      <c r="W31" s="18">
        <v>76.395</v>
      </c>
      <c r="X31" s="18"/>
      <c r="Y31" s="18"/>
      <c r="Z31" s="18"/>
      <c r="AA31" s="18"/>
      <c r="AB31" s="18"/>
      <c r="AC31" s="18">
        <f>216.111+216.763</f>
        <v>432.874</v>
      </c>
      <c r="AD31" s="18">
        <v>159.062</v>
      </c>
      <c r="AE31" s="18"/>
      <c r="AF31" s="18"/>
      <c r="AG31" s="18"/>
      <c r="AH31" s="18"/>
      <c r="AI31" s="18">
        <v>180.626</v>
      </c>
      <c r="AJ31" s="18"/>
      <c r="AK31" s="18"/>
      <c r="AL31" s="18"/>
      <c r="AM31" s="18"/>
      <c r="AN31" s="18">
        <f>239.84+181.211</f>
        <v>421.05100000000004</v>
      </c>
      <c r="AO31" s="18"/>
      <c r="AP31" s="18">
        <v>108.417</v>
      </c>
      <c r="AQ31" s="18">
        <v>157.552</v>
      </c>
      <c r="AR31" s="18">
        <v>248.415</v>
      </c>
      <c r="AS31" s="18"/>
      <c r="AT31" s="18"/>
      <c r="AU31" s="18"/>
      <c r="AV31" s="18"/>
      <c r="AW31" s="18"/>
      <c r="AX31" s="18">
        <v>279.573</v>
      </c>
      <c r="AY31" s="18">
        <v>136.815</v>
      </c>
      <c r="AZ31" s="18"/>
      <c r="BA31" s="18">
        <v>112.939</v>
      </c>
      <c r="BB31" s="18"/>
      <c r="BC31" s="18">
        <v>111.35</v>
      </c>
      <c r="BD31" s="18"/>
      <c r="BE31" s="18"/>
      <c r="BF31" s="18"/>
      <c r="BG31" s="18"/>
      <c r="BH31" s="18">
        <v>116.351</v>
      </c>
      <c r="BI31" s="18">
        <v>102.459</v>
      </c>
      <c r="BJ31" s="18">
        <f>164.673+199.042</f>
        <v>363.71500000000003</v>
      </c>
      <c r="BK31" s="18">
        <f>146.967+120.444</f>
        <v>267.411</v>
      </c>
      <c r="BL31" s="18"/>
      <c r="BM31" s="18"/>
      <c r="BN31" s="18"/>
      <c r="BO31" s="18"/>
      <c r="BP31" s="18">
        <v>210.178</v>
      </c>
      <c r="BQ31" s="18">
        <f>158.436+316.824+113.885</f>
        <v>589.145</v>
      </c>
      <c r="BR31" s="18"/>
      <c r="BS31" s="18"/>
      <c r="BT31" s="18"/>
      <c r="BU31" s="18"/>
      <c r="BV31" s="18"/>
      <c r="BW31" s="18">
        <f>170.377+151.939</f>
        <v>322.31600000000003</v>
      </c>
      <c r="BX31" s="18">
        <f>116.614+126.423</f>
        <v>243.037</v>
      </c>
      <c r="BY31" s="18">
        <f>122.156+141.325</f>
        <v>263.481</v>
      </c>
      <c r="BZ31" s="18">
        <f>161.43+161.074</f>
        <v>322.504</v>
      </c>
      <c r="CA31" s="18"/>
      <c r="CB31" s="18">
        <f>74.519+79.365</f>
        <v>153.88400000000001</v>
      </c>
      <c r="CC31" s="18"/>
      <c r="CD31" s="18"/>
      <c r="CE31" s="18">
        <f>124.416+124.325</f>
        <v>248.74099999999999</v>
      </c>
      <c r="CF31" s="10"/>
      <c r="CG31" s="18"/>
      <c r="CH31" s="18">
        <f>170.254+156.399</f>
        <v>326.653</v>
      </c>
      <c r="CI31" s="18"/>
      <c r="CJ31" s="18">
        <f>201.662+191.921</f>
        <v>393.58299999999997</v>
      </c>
      <c r="CK31" s="18"/>
      <c r="CL31" s="18">
        <v>114.649</v>
      </c>
      <c r="CM31" s="18">
        <f>139.117+119.509</f>
        <v>258.626</v>
      </c>
      <c r="CN31" s="18"/>
      <c r="CO31" s="18"/>
      <c r="CP31" s="18">
        <v>319.995</v>
      </c>
      <c r="CQ31" s="18">
        <f>129.329+144.765</f>
        <v>274.094</v>
      </c>
      <c r="CR31" s="18">
        <v>225.063</v>
      </c>
      <c r="CS31" s="18">
        <f>79.28+85.319</f>
        <v>164.599</v>
      </c>
      <c r="CT31" s="18">
        <f>102.983+144.102</f>
        <v>247.085</v>
      </c>
      <c r="CU31" s="18"/>
      <c r="CV31" s="18">
        <v>92.567</v>
      </c>
      <c r="CW31" s="18">
        <f>246.56+165.081</f>
        <v>411.64099999999996</v>
      </c>
      <c r="CX31" s="18">
        <v>108.31</v>
      </c>
      <c r="CY31" s="18"/>
      <c r="CZ31" s="18">
        <v>106.241</v>
      </c>
      <c r="DA31" s="18"/>
      <c r="DB31" s="18"/>
      <c r="DC31" s="18">
        <f>127.639+105.76</f>
        <v>233.399</v>
      </c>
      <c r="DD31" s="18"/>
      <c r="DE31" s="18">
        <v>115.24</v>
      </c>
      <c r="DF31" s="18">
        <v>111.819</v>
      </c>
      <c r="DG31" s="18">
        <f>290.236+309.386</f>
        <v>599.6220000000001</v>
      </c>
      <c r="DH31" s="18"/>
      <c r="DI31" s="18">
        <f>296.298+281.079+275.616</f>
        <v>852.9929999999999</v>
      </c>
      <c r="DJ31" s="18"/>
      <c r="DK31" s="18">
        <f>287.401+242.491+280.92</f>
        <v>810.8120000000001</v>
      </c>
      <c r="DL31" s="18"/>
      <c r="DM31" s="18">
        <f>118.352+118.352</f>
        <v>236.704</v>
      </c>
      <c r="DN31" s="18"/>
      <c r="DO31" s="18"/>
      <c r="DP31" s="18"/>
      <c r="DQ31" s="18">
        <f>161.054+102.595</f>
        <v>263.649</v>
      </c>
      <c r="DR31" s="18">
        <v>74.708</v>
      </c>
      <c r="DS31" s="18">
        <f>553.728+200.579</f>
        <v>754.307</v>
      </c>
      <c r="DT31" s="18">
        <f>502.479+203.331</f>
        <v>705.81</v>
      </c>
      <c r="DU31" s="18"/>
      <c r="DV31" s="18"/>
      <c r="DW31" s="18">
        <f>505.379+191.873</f>
        <v>697.252</v>
      </c>
      <c r="DX31" s="18">
        <f>298.927+362.337+313.01+301.47</f>
        <v>1275.7440000000001</v>
      </c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>
        <v>110.834</v>
      </c>
      <c r="EK31" s="18"/>
      <c r="EL31" s="18"/>
      <c r="EM31" s="18"/>
      <c r="EN31" s="18"/>
      <c r="EO31" s="18"/>
      <c r="EP31" s="18"/>
      <c r="EQ31" s="18">
        <v>107.498</v>
      </c>
      <c r="ER31" s="18">
        <f>116.105+137.045</f>
        <v>253.14999999999998</v>
      </c>
      <c r="ES31" s="18">
        <f>301.005+122.579</f>
        <v>423.584</v>
      </c>
      <c r="ET31" s="18">
        <f>129.353+136.174</f>
        <v>265.52700000000004</v>
      </c>
      <c r="EU31" s="18">
        <f>128.396+129.418</f>
        <v>257.81399999999996</v>
      </c>
      <c r="EV31" s="18">
        <f>122.239+99.239</f>
        <v>221.478</v>
      </c>
      <c r="EW31" s="18"/>
      <c r="EX31" s="18">
        <f>77.657+77.11+75.731</f>
        <v>230.498</v>
      </c>
      <c r="EY31" s="18">
        <f>161.79+134.886+142.588</f>
        <v>439.264</v>
      </c>
      <c r="EZ31" s="18">
        <v>89.675</v>
      </c>
      <c r="FA31" s="18">
        <f>87.455+84.646</f>
        <v>172.101</v>
      </c>
      <c r="FB31" s="18">
        <f>71.503+97.406</f>
        <v>168.909</v>
      </c>
      <c r="FC31" s="18">
        <f>74.467+89.71</f>
        <v>164.177</v>
      </c>
      <c r="FD31" s="18">
        <f>77.974+72.259</f>
        <v>150.233</v>
      </c>
      <c r="FE31" s="18"/>
      <c r="FF31" s="18"/>
      <c r="FG31" s="18">
        <f>91.932+101.028+93.332</f>
        <v>286.29200000000003</v>
      </c>
      <c r="FH31" s="18">
        <f>488.532+292.563</f>
        <v>781.095</v>
      </c>
      <c r="FI31" s="18"/>
      <c r="FJ31" s="18">
        <v>460.997</v>
      </c>
      <c r="FK31" s="18"/>
      <c r="FL31" s="18">
        <f>78.443+80.586</f>
        <v>159.029</v>
      </c>
      <c r="FM31" s="18"/>
      <c r="FN31" s="34">
        <v>159.029</v>
      </c>
      <c r="FO31" s="18">
        <f>74.58+74.278+73.715</f>
        <v>222.573</v>
      </c>
      <c r="FP31" s="18"/>
      <c r="FQ31" s="18"/>
      <c r="FR31" s="18">
        <v>188.43</v>
      </c>
      <c r="FS31" s="18"/>
      <c r="FT31" s="18"/>
      <c r="FU31" s="18"/>
      <c r="FV31" s="18"/>
      <c r="FW31" s="18">
        <v>140.821</v>
      </c>
      <c r="FX31" s="18">
        <v>179.702</v>
      </c>
      <c r="FY31" s="18"/>
      <c r="FZ31" s="18"/>
      <c r="GA31" s="18">
        <f>102.198+92.103</f>
        <v>194.301</v>
      </c>
      <c r="GB31" s="18"/>
      <c r="GC31" s="18">
        <v>185.247</v>
      </c>
      <c r="GD31" s="18"/>
      <c r="GE31" s="18"/>
      <c r="GF31" s="18"/>
      <c r="GG31" s="18"/>
      <c r="GH31" s="18"/>
      <c r="GI31" s="18"/>
      <c r="GJ31" s="18">
        <v>98.772</v>
      </c>
      <c r="GK31" s="18"/>
      <c r="GL31" s="18">
        <f>189.766+186.94</f>
        <v>376.706</v>
      </c>
      <c r="GM31" s="18"/>
      <c r="GN31" s="18">
        <f>105.408+107.949</f>
        <v>213.357</v>
      </c>
      <c r="GO31" s="18"/>
      <c r="GP31" s="18"/>
      <c r="GQ31" s="18">
        <v>115.811</v>
      </c>
      <c r="GR31" s="18"/>
      <c r="GS31" s="18"/>
      <c r="GT31" s="18">
        <f>86.519+87.498+75.674</f>
        <v>249.691</v>
      </c>
      <c r="GU31" s="18"/>
      <c r="GV31" s="18">
        <f>68.931+73.589</f>
        <v>142.51999999999998</v>
      </c>
      <c r="GW31" s="18">
        <f>267.668+220.374+65.468</f>
        <v>553.51</v>
      </c>
      <c r="GX31" s="18"/>
      <c r="GY31" s="18"/>
      <c r="GZ31" s="18"/>
      <c r="HA31" s="18"/>
      <c r="HB31" s="18"/>
      <c r="HC31" s="18"/>
      <c r="HD31" s="18">
        <v>113.883</v>
      </c>
      <c r="HE31" s="18">
        <v>108.01</v>
      </c>
      <c r="HF31" s="18">
        <v>162.677</v>
      </c>
      <c r="HG31" s="18">
        <f>388.811</f>
        <v>388.811</v>
      </c>
      <c r="HH31" s="18">
        <v>100.377</v>
      </c>
      <c r="HI31" s="18">
        <f>77.363+88.405</f>
        <v>165.768</v>
      </c>
      <c r="HJ31" s="18">
        <f>81.373+67.45</f>
        <v>148.823</v>
      </c>
      <c r="HK31" s="18"/>
      <c r="HL31" s="18"/>
      <c r="HM31" s="18">
        <f>79.755+75.248</f>
        <v>155.003</v>
      </c>
      <c r="HN31" s="18"/>
      <c r="HO31" s="18">
        <f>92.459+91.706</f>
        <v>184.16500000000002</v>
      </c>
      <c r="HP31" s="18">
        <v>89.529</v>
      </c>
      <c r="HQ31" s="18"/>
      <c r="HR31" s="18"/>
      <c r="HS31" s="18"/>
      <c r="HT31" s="18"/>
      <c r="HU31" s="18"/>
      <c r="HV31" s="18"/>
      <c r="HW31" s="18"/>
      <c r="HX31" s="18">
        <v>165.322</v>
      </c>
    </row>
    <row r="32" spans="1:232" ht="26.25" customHeight="1">
      <c r="A32" s="2" t="s">
        <v>9</v>
      </c>
      <c r="B32" s="9" t="s">
        <v>297</v>
      </c>
      <c r="C32" s="4" t="s">
        <v>11</v>
      </c>
      <c r="D32" s="18">
        <f t="shared" si="17"/>
        <v>0.5960000000000001</v>
      </c>
      <c r="E32" s="18">
        <f t="shared" si="18"/>
        <v>0.5960000000000001</v>
      </c>
      <c r="F32" s="33"/>
      <c r="G32" s="18"/>
      <c r="H32" s="31"/>
      <c r="I32" s="31"/>
      <c r="J32" s="31"/>
      <c r="K32" s="31"/>
      <c r="L32" s="31"/>
      <c r="M32" s="31"/>
      <c r="N32" s="31"/>
      <c r="O32" s="31"/>
      <c r="P32" s="31"/>
      <c r="Q32" s="31">
        <v>0.055</v>
      </c>
      <c r="R32" s="31"/>
      <c r="S32" s="31">
        <v>0.054</v>
      </c>
      <c r="T32" s="31"/>
      <c r="U32" s="31">
        <v>0.056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>
        <v>0.129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>
        <v>0.135</v>
      </c>
      <c r="ED32" s="31"/>
      <c r="EE32" s="31">
        <v>0.057</v>
      </c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>
        <v>0.061</v>
      </c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>
        <v>0.049</v>
      </c>
      <c r="HQ32" s="31"/>
      <c r="HR32" s="31"/>
      <c r="HS32" s="31"/>
      <c r="HT32" s="31"/>
      <c r="HU32" s="31"/>
      <c r="HV32" s="31"/>
      <c r="HW32" s="31"/>
      <c r="HX32" s="31"/>
    </row>
    <row r="33" spans="1:232" ht="12.75" customHeight="1">
      <c r="A33" s="2"/>
      <c r="B33" s="9"/>
      <c r="C33" s="4" t="s">
        <v>0</v>
      </c>
      <c r="D33" s="18">
        <f t="shared" si="17"/>
        <v>121.677</v>
      </c>
      <c r="E33" s="18">
        <f t="shared" si="18"/>
        <v>121.677</v>
      </c>
      <c r="F33" s="35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>
        <v>8.35</v>
      </c>
      <c r="R33" s="31"/>
      <c r="S33" s="31">
        <v>7.987</v>
      </c>
      <c r="T33" s="31"/>
      <c r="U33" s="31">
        <v>8.136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>
        <v>18.887</v>
      </c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>
        <f>44.789+10.31</f>
        <v>55.099000000000004</v>
      </c>
      <c r="ED33" s="31"/>
      <c r="EE33" s="31">
        <f>1.948+5.056</f>
        <v>7.004</v>
      </c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>
        <v>9.216</v>
      </c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>
        <v>6.998</v>
      </c>
      <c r="HQ33" s="31"/>
      <c r="HR33" s="31"/>
      <c r="HS33" s="31"/>
      <c r="HT33" s="31"/>
      <c r="HU33" s="31"/>
      <c r="HV33" s="31"/>
      <c r="HW33" s="31"/>
      <c r="HX33" s="31"/>
    </row>
    <row r="34" spans="1:232" ht="23.25" customHeight="1">
      <c r="A34" s="2" t="s">
        <v>36</v>
      </c>
      <c r="B34" s="9" t="s">
        <v>305</v>
      </c>
      <c r="C34" s="4" t="s">
        <v>11</v>
      </c>
      <c r="D34" s="18">
        <f t="shared" si="17"/>
        <v>1.392549999999999</v>
      </c>
      <c r="E34" s="18">
        <f t="shared" si="18"/>
        <v>1.392549999999999</v>
      </c>
      <c r="F34" s="18"/>
      <c r="G34" s="18">
        <v>0.007</v>
      </c>
      <c r="H34" s="18"/>
      <c r="I34" s="18">
        <v>0.00975</v>
      </c>
      <c r="J34" s="18"/>
      <c r="K34" s="18"/>
      <c r="L34" s="18">
        <v>0.00225</v>
      </c>
      <c r="M34" s="18"/>
      <c r="N34" s="18"/>
      <c r="O34" s="18"/>
      <c r="P34" s="18">
        <v>0.0037</v>
      </c>
      <c r="Q34" s="18"/>
      <c r="R34" s="18"/>
      <c r="S34" s="18"/>
      <c r="T34" s="18"/>
      <c r="U34" s="18"/>
      <c r="V34" s="18">
        <v>0.012</v>
      </c>
      <c r="W34" s="18"/>
      <c r="X34" s="18"/>
      <c r="Y34" s="18"/>
      <c r="Z34" s="18">
        <v>0.016</v>
      </c>
      <c r="AA34" s="18">
        <v>0.016</v>
      </c>
      <c r="AB34" s="18">
        <f>0.01+0.004</f>
        <v>0.014</v>
      </c>
      <c r="AC34" s="18"/>
      <c r="AD34" s="18">
        <v>0.004</v>
      </c>
      <c r="AE34" s="18"/>
      <c r="AF34" s="18"/>
      <c r="AG34" s="18"/>
      <c r="AH34" s="18"/>
      <c r="AI34" s="18">
        <v>0.011</v>
      </c>
      <c r="AJ34" s="18"/>
      <c r="AK34" s="18">
        <f>0.002+0.004</f>
        <v>0.006</v>
      </c>
      <c r="AL34" s="18">
        <v>0.004</v>
      </c>
      <c r="AM34" s="18"/>
      <c r="AN34" s="18"/>
      <c r="AO34" s="18">
        <f>0.012+0.012</f>
        <v>0.024</v>
      </c>
      <c r="AP34" s="18"/>
      <c r="AQ34" s="18">
        <v>0.02</v>
      </c>
      <c r="AR34" s="18"/>
      <c r="AS34" s="18">
        <f>0.00525+0.006</f>
        <v>0.01125</v>
      </c>
      <c r="AT34" s="18">
        <f>0.008+0.008</f>
        <v>0.016</v>
      </c>
      <c r="AU34" s="18">
        <v>0.001</v>
      </c>
      <c r="AV34" s="18"/>
      <c r="AW34" s="18">
        <f>0.0025+0.001</f>
        <v>0.0035</v>
      </c>
      <c r="AX34" s="18"/>
      <c r="AY34" s="18"/>
      <c r="AZ34" s="18"/>
      <c r="BA34" s="18"/>
      <c r="BB34" s="18"/>
      <c r="BC34" s="18">
        <v>0.00225</v>
      </c>
      <c r="BD34" s="18"/>
      <c r="BE34" s="18"/>
      <c r="BF34" s="18"/>
      <c r="BG34" s="18">
        <v>0.004</v>
      </c>
      <c r="BH34" s="18">
        <f>0.00375+0.003</f>
        <v>0.00675</v>
      </c>
      <c r="BI34" s="18">
        <v>0.0015</v>
      </c>
      <c r="BJ34" s="18">
        <v>0.01</v>
      </c>
      <c r="BK34" s="18"/>
      <c r="BL34" s="18"/>
      <c r="BM34" s="18">
        <f>0.0025+0.003+0.001</f>
        <v>0.0065</v>
      </c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>
        <v>0.02</v>
      </c>
      <c r="CA34" s="18"/>
      <c r="CB34" s="18">
        <v>0.001</v>
      </c>
      <c r="CC34" s="18"/>
      <c r="CD34" s="18"/>
      <c r="CE34" s="18"/>
      <c r="CF34" s="18"/>
      <c r="CG34" s="18"/>
      <c r="CH34" s="18">
        <v>0.01</v>
      </c>
      <c r="CI34" s="18"/>
      <c r="CJ34" s="18"/>
      <c r="CK34" s="18"/>
      <c r="CL34" s="18">
        <v>0.012</v>
      </c>
      <c r="CM34" s="18">
        <v>0.01</v>
      </c>
      <c r="CN34" s="18">
        <f>0.0015+0.001</f>
        <v>0.0025</v>
      </c>
      <c r="CO34" s="18">
        <f>0.006+0.0015+0.0015</f>
        <v>0.009</v>
      </c>
      <c r="CP34" s="18">
        <f>0.02+0.051</f>
        <v>0.071</v>
      </c>
      <c r="CQ34" s="18"/>
      <c r="CR34" s="18"/>
      <c r="CS34" s="18"/>
      <c r="CT34" s="18">
        <v>0.0025</v>
      </c>
      <c r="CU34" s="18">
        <v>0.0675</v>
      </c>
      <c r="CV34" s="18">
        <v>0.0006</v>
      </c>
      <c r="CW34" s="18"/>
      <c r="CX34" s="18"/>
      <c r="CY34" s="18"/>
      <c r="CZ34" s="18">
        <v>0.0023</v>
      </c>
      <c r="DA34" s="18">
        <v>0.047</v>
      </c>
      <c r="DB34" s="18"/>
      <c r="DC34" s="18">
        <v>0.005</v>
      </c>
      <c r="DD34" s="18"/>
      <c r="DE34" s="18">
        <v>0.015</v>
      </c>
      <c r="DF34" s="18">
        <v>0.02</v>
      </c>
      <c r="DG34" s="18"/>
      <c r="DH34" s="18"/>
      <c r="DI34" s="18"/>
      <c r="DJ34" s="18">
        <f>0.01575+0.003</f>
        <v>0.01875</v>
      </c>
      <c r="DK34" s="18"/>
      <c r="DL34" s="18">
        <v>0.02</v>
      </c>
      <c r="DM34" s="18"/>
      <c r="DN34" s="18"/>
      <c r="DO34" s="18"/>
      <c r="DP34" s="18"/>
      <c r="DQ34" s="18"/>
      <c r="DR34" s="18">
        <v>0.005</v>
      </c>
      <c r="DS34" s="18">
        <v>0.005</v>
      </c>
      <c r="DT34" s="18"/>
      <c r="DU34" s="18">
        <f>0.13+0.13+0.035</f>
        <v>0.29500000000000004</v>
      </c>
      <c r="DV34" s="18"/>
      <c r="DW34" s="18"/>
      <c r="DX34" s="18">
        <v>0.054</v>
      </c>
      <c r="DY34" s="18">
        <v>0.047</v>
      </c>
      <c r="DZ34" s="18">
        <v>0.015</v>
      </c>
      <c r="EA34" s="18">
        <v>0.005</v>
      </c>
      <c r="EB34" s="18">
        <f>0.001+0.012</f>
        <v>0.013000000000000001</v>
      </c>
      <c r="EC34" s="18">
        <f>0.01+0.007</f>
        <v>0.017</v>
      </c>
      <c r="ED34" s="18"/>
      <c r="EE34" s="18"/>
      <c r="EF34" s="18">
        <f>0.00625+0.002+0.01</f>
        <v>0.018250000000000002</v>
      </c>
      <c r="EG34" s="18">
        <f>0.006+0.0065</f>
        <v>0.0125</v>
      </c>
      <c r="EH34" s="18"/>
      <c r="EI34" s="18">
        <v>0.00575</v>
      </c>
      <c r="EJ34" s="18">
        <f>0.001+0.012+0.005</f>
        <v>0.018000000000000002</v>
      </c>
      <c r="EK34" s="18"/>
      <c r="EL34" s="18">
        <f>0.033+0.0075</f>
        <v>0.0405</v>
      </c>
      <c r="EM34" s="18">
        <f>0.001+0.002+0.004</f>
        <v>0.007</v>
      </c>
      <c r="EN34" s="18">
        <v>0.001</v>
      </c>
      <c r="EO34" s="18">
        <v>0.0005</v>
      </c>
      <c r="EP34" s="18">
        <v>0.002</v>
      </c>
      <c r="EQ34" s="18"/>
      <c r="ER34" s="18">
        <v>0.0025</v>
      </c>
      <c r="ES34" s="18"/>
      <c r="ET34" s="18">
        <f>0.004+0.018</f>
        <v>0.022</v>
      </c>
      <c r="EU34" s="18"/>
      <c r="EV34" s="18">
        <f>0.003+0.004</f>
        <v>0.007</v>
      </c>
      <c r="EW34" s="18">
        <v>0.002</v>
      </c>
      <c r="EX34" s="18"/>
      <c r="EY34" s="18">
        <v>0.01</v>
      </c>
      <c r="EZ34" s="18"/>
      <c r="FA34" s="36"/>
      <c r="FB34" s="18"/>
      <c r="FC34" s="18"/>
      <c r="FD34" s="18"/>
      <c r="FE34" s="18"/>
      <c r="FF34" s="18">
        <f>0.001+0.04+0.018</f>
        <v>0.059</v>
      </c>
      <c r="FG34" s="18"/>
      <c r="FH34" s="18">
        <v>0.002</v>
      </c>
      <c r="FI34" s="18"/>
      <c r="FJ34" s="18"/>
      <c r="FK34" s="18"/>
      <c r="FL34" s="18"/>
      <c r="FM34" s="18"/>
      <c r="FN34" s="18">
        <v>0.0015</v>
      </c>
      <c r="FO34" s="18">
        <v>0.001</v>
      </c>
      <c r="FP34" s="18">
        <v>0.004</v>
      </c>
      <c r="FQ34" s="18">
        <f>0.01+0.0075</f>
        <v>0.0175</v>
      </c>
      <c r="FR34" s="18">
        <v>0.008</v>
      </c>
      <c r="FS34" s="18"/>
      <c r="FT34" s="18"/>
      <c r="FU34" s="18">
        <f>0.007+0.0045</f>
        <v>0.0115</v>
      </c>
      <c r="FV34" s="18">
        <v>0.001</v>
      </c>
      <c r="FW34" s="18">
        <v>0.001</v>
      </c>
      <c r="FX34" s="18"/>
      <c r="FY34" s="18"/>
      <c r="FZ34" s="18"/>
      <c r="GA34" s="18"/>
      <c r="GB34" s="18"/>
      <c r="GC34" s="18">
        <v>0.0025</v>
      </c>
      <c r="GD34" s="18">
        <v>0.002</v>
      </c>
      <c r="GE34" s="18"/>
      <c r="GF34" s="18"/>
      <c r="GG34" s="18"/>
      <c r="GH34" s="18"/>
      <c r="GI34" s="18">
        <v>0.0005</v>
      </c>
      <c r="GJ34" s="18">
        <v>0.01</v>
      </c>
      <c r="GK34" s="18">
        <v>0.00975</v>
      </c>
      <c r="GL34" s="18">
        <v>0.0005</v>
      </c>
      <c r="GM34" s="18">
        <v>0.0002</v>
      </c>
      <c r="GN34" s="18"/>
      <c r="GO34" s="18">
        <v>0.01</v>
      </c>
      <c r="GP34" s="18"/>
      <c r="GQ34" s="18"/>
      <c r="GR34" s="18"/>
      <c r="GS34" s="18"/>
      <c r="GT34" s="18">
        <f>0.009+0.018</f>
        <v>0.026999999999999996</v>
      </c>
      <c r="GU34" s="18">
        <v>0.001</v>
      </c>
      <c r="GV34" s="18">
        <v>0.00375</v>
      </c>
      <c r="GW34" s="18"/>
      <c r="GX34" s="18"/>
      <c r="GY34" s="18"/>
      <c r="GZ34" s="18"/>
      <c r="HA34" s="18">
        <v>0.01175</v>
      </c>
      <c r="HB34" s="18"/>
      <c r="HC34" s="18">
        <v>0.001</v>
      </c>
      <c r="HD34" s="18">
        <f>0.00225+0.0025</f>
        <v>0.00475</v>
      </c>
      <c r="HE34" s="18">
        <f>0.001+0.001</f>
        <v>0.002</v>
      </c>
      <c r="HF34" s="18"/>
      <c r="HG34" s="18"/>
      <c r="HH34" s="18">
        <v>0.01</v>
      </c>
      <c r="HI34" s="18">
        <v>0.006</v>
      </c>
      <c r="HJ34" s="18">
        <f>0.004+0.002</f>
        <v>0.006</v>
      </c>
      <c r="HK34" s="18"/>
      <c r="HL34" s="18">
        <v>0.00225</v>
      </c>
      <c r="HM34" s="18">
        <v>0.01</v>
      </c>
      <c r="HN34" s="18">
        <v>0.0075</v>
      </c>
      <c r="HO34" s="18">
        <v>0.0005</v>
      </c>
      <c r="HP34" s="18">
        <v>0.0055</v>
      </c>
      <c r="HQ34" s="18"/>
      <c r="HR34" s="18"/>
      <c r="HS34" s="18"/>
      <c r="HT34" s="18"/>
      <c r="HU34" s="18"/>
      <c r="HV34" s="18"/>
      <c r="HW34" s="18"/>
      <c r="HX34" s="18"/>
    </row>
    <row r="35" spans="1:232" ht="12.75" customHeight="1">
      <c r="A35" s="2"/>
      <c r="B35" s="8"/>
      <c r="C35" s="4" t="s">
        <v>0</v>
      </c>
      <c r="D35" s="18">
        <f t="shared" si="17"/>
        <v>634.879</v>
      </c>
      <c r="E35" s="18">
        <f t="shared" si="18"/>
        <v>634.879</v>
      </c>
      <c r="F35" s="18"/>
      <c r="G35" s="18">
        <v>2.412</v>
      </c>
      <c r="H35" s="18"/>
      <c r="I35" s="18">
        <v>3.82</v>
      </c>
      <c r="J35" s="18"/>
      <c r="K35" s="18"/>
      <c r="L35" s="18">
        <v>1.051</v>
      </c>
      <c r="M35" s="18"/>
      <c r="N35" s="18"/>
      <c r="O35" s="18"/>
      <c r="P35" s="18">
        <v>2.091</v>
      </c>
      <c r="Q35" s="18"/>
      <c r="R35" s="18"/>
      <c r="S35" s="18"/>
      <c r="T35" s="18"/>
      <c r="U35" s="18"/>
      <c r="V35" s="18">
        <v>4.134</v>
      </c>
      <c r="W35" s="18"/>
      <c r="X35" s="18"/>
      <c r="Y35" s="18"/>
      <c r="Z35" s="18">
        <v>7.171</v>
      </c>
      <c r="AA35" s="18">
        <v>5.514</v>
      </c>
      <c r="AB35" s="18">
        <f>3.446+1.378</f>
        <v>4.824</v>
      </c>
      <c r="AC35" s="18"/>
      <c r="AD35" s="18">
        <v>1.378</v>
      </c>
      <c r="AE35" s="18"/>
      <c r="AF35" s="18"/>
      <c r="AG35" s="18"/>
      <c r="AH35" s="18"/>
      <c r="AI35" s="18">
        <v>4.648</v>
      </c>
      <c r="AJ35" s="18"/>
      <c r="AK35" s="18">
        <f>0.729+2.097+3.115</f>
        <v>5.941000000000001</v>
      </c>
      <c r="AL35" s="18">
        <v>1.378</v>
      </c>
      <c r="AM35" s="18"/>
      <c r="AN35" s="18"/>
      <c r="AO35" s="18">
        <f>6.326+4.134</f>
        <v>10.46</v>
      </c>
      <c r="AP35" s="18"/>
      <c r="AQ35" s="18">
        <v>5.17</v>
      </c>
      <c r="AR35" s="18"/>
      <c r="AS35" s="18">
        <f>2.453+2.067</f>
        <v>4.52</v>
      </c>
      <c r="AT35" s="18">
        <f>2.756+2.756</f>
        <v>5.512</v>
      </c>
      <c r="AU35" s="18">
        <v>1.748</v>
      </c>
      <c r="AV35" s="18"/>
      <c r="AW35" s="18">
        <f>0.791+0.438</f>
        <v>1.229</v>
      </c>
      <c r="AX35" s="18"/>
      <c r="AY35" s="18"/>
      <c r="AZ35" s="18"/>
      <c r="BA35" s="18"/>
      <c r="BB35" s="18"/>
      <c r="BC35" s="18">
        <v>1.051</v>
      </c>
      <c r="BD35" s="18"/>
      <c r="BE35" s="18"/>
      <c r="BF35" s="18"/>
      <c r="BG35" s="18">
        <v>1.378</v>
      </c>
      <c r="BH35" s="18">
        <f>1.752+2.546</f>
        <v>4.298</v>
      </c>
      <c r="BI35" s="18">
        <v>0.701</v>
      </c>
      <c r="BJ35" s="18">
        <v>11.074</v>
      </c>
      <c r="BK35" s="18"/>
      <c r="BL35" s="18"/>
      <c r="BM35" s="18">
        <f>0.861+1.403+1.107</f>
        <v>3.3710000000000004</v>
      </c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>
        <v>9.101</v>
      </c>
      <c r="CA35" s="18"/>
      <c r="CB35" s="18">
        <v>0.345</v>
      </c>
      <c r="CC35" s="18"/>
      <c r="CD35" s="18"/>
      <c r="CE35" s="18"/>
      <c r="CF35" s="18"/>
      <c r="CG35" s="18"/>
      <c r="CH35" s="18">
        <v>6.298</v>
      </c>
      <c r="CI35" s="18"/>
      <c r="CJ35" s="18"/>
      <c r="CK35" s="18"/>
      <c r="CL35" s="18">
        <v>4.134</v>
      </c>
      <c r="CM35" s="18">
        <v>3.446</v>
      </c>
      <c r="CN35" s="18">
        <f>0.517+0.519</f>
        <v>1.036</v>
      </c>
      <c r="CO35" s="18">
        <f>4.607+0.517+1.658</f>
        <v>6.782</v>
      </c>
      <c r="CP35" s="18">
        <f>6.891+17.652</f>
        <v>24.543</v>
      </c>
      <c r="CQ35" s="18"/>
      <c r="CR35" s="18"/>
      <c r="CS35" s="18"/>
      <c r="CT35" s="18">
        <v>0.861</v>
      </c>
      <c r="CU35" s="18">
        <v>27.862</v>
      </c>
      <c r="CV35" s="18">
        <v>0.208</v>
      </c>
      <c r="CW35" s="18"/>
      <c r="CX35" s="18"/>
      <c r="CY35" s="18"/>
      <c r="CZ35" s="18">
        <v>0.793</v>
      </c>
      <c r="DA35" s="18">
        <v>16.544</v>
      </c>
      <c r="DB35" s="18"/>
      <c r="DC35" s="18">
        <f>0.689+1.403</f>
        <v>2.092</v>
      </c>
      <c r="DD35" s="18"/>
      <c r="DE35" s="18">
        <v>5.17</v>
      </c>
      <c r="DF35" s="18">
        <v>6.891</v>
      </c>
      <c r="DG35" s="18"/>
      <c r="DH35" s="18"/>
      <c r="DI35" s="18"/>
      <c r="DJ35" s="18">
        <f>8.304+1.304</f>
        <v>9.608</v>
      </c>
      <c r="DK35" s="18"/>
      <c r="DL35" s="18">
        <v>6.891</v>
      </c>
      <c r="DM35" s="18"/>
      <c r="DN35" s="18"/>
      <c r="DO35" s="18"/>
      <c r="DP35" s="18"/>
      <c r="DQ35" s="18"/>
      <c r="DR35" s="18">
        <v>15.145</v>
      </c>
      <c r="DS35" s="18">
        <v>1.722</v>
      </c>
      <c r="DT35" s="18"/>
      <c r="DU35" s="18">
        <f>45.491+44.994+3.867</f>
        <v>94.352</v>
      </c>
      <c r="DV35" s="18"/>
      <c r="DW35" s="18"/>
      <c r="DX35" s="18">
        <v>18.69</v>
      </c>
      <c r="DY35" s="18">
        <v>22.132</v>
      </c>
      <c r="DZ35" s="18">
        <v>8.986</v>
      </c>
      <c r="EA35" s="18">
        <v>13.542</v>
      </c>
      <c r="EB35" s="18">
        <f>0.345+11.956</f>
        <v>12.301</v>
      </c>
      <c r="EC35" s="18">
        <f>3.461+7.735</f>
        <v>11.196</v>
      </c>
      <c r="ED35" s="18"/>
      <c r="EE35" s="18"/>
      <c r="EF35" s="18">
        <f>2.43+0.689+9.789</f>
        <v>12.908</v>
      </c>
      <c r="EG35" s="18">
        <f>2.767+2.116</f>
        <v>4.883</v>
      </c>
      <c r="EH35" s="18"/>
      <c r="EI35" s="18">
        <v>4.217</v>
      </c>
      <c r="EJ35" s="18">
        <f>0.345+4.134+5.537</f>
        <v>10.016</v>
      </c>
      <c r="EK35" s="18"/>
      <c r="EL35" s="18">
        <f>1.034+10.336+8.305</f>
        <v>19.675</v>
      </c>
      <c r="EM35" s="18">
        <f>1.186+0.692+1.384+1.104</f>
        <v>4.366</v>
      </c>
      <c r="EN35" s="18">
        <v>0.345</v>
      </c>
      <c r="EO35" s="18">
        <v>0.172</v>
      </c>
      <c r="EP35" s="18">
        <v>0.689</v>
      </c>
      <c r="EQ35" s="18"/>
      <c r="ER35" s="18">
        <v>1.045</v>
      </c>
      <c r="ES35" s="18"/>
      <c r="ET35" s="18">
        <f>1.378+11.073+0.692+0.969+2.768</f>
        <v>16.88</v>
      </c>
      <c r="EU35" s="18"/>
      <c r="EV35" s="18">
        <f>1.034+1.378</f>
        <v>2.412</v>
      </c>
      <c r="EW35" s="18">
        <v>0.689</v>
      </c>
      <c r="EX35" s="18"/>
      <c r="EY35" s="18">
        <v>3.955</v>
      </c>
      <c r="EZ35" s="18"/>
      <c r="FA35" s="18"/>
      <c r="FB35" s="18"/>
      <c r="FC35" s="18"/>
      <c r="FD35" s="18"/>
      <c r="FE35" s="18"/>
      <c r="FF35" s="18">
        <f>1.186+13.844+19.337</f>
        <v>34.367</v>
      </c>
      <c r="FG35" s="18"/>
      <c r="FH35" s="18">
        <v>0.692</v>
      </c>
      <c r="FI35" s="18"/>
      <c r="FJ35" s="18"/>
      <c r="FK35" s="18"/>
      <c r="FL35" s="18"/>
      <c r="FM35" s="18"/>
      <c r="FN35" s="18">
        <v>0.517</v>
      </c>
      <c r="FO35" s="18">
        <v>0.345</v>
      </c>
      <c r="FP35" s="18">
        <v>3.955</v>
      </c>
      <c r="FQ35" s="18">
        <f>3.446+2.595</f>
        <v>6.041</v>
      </c>
      <c r="FR35" s="18">
        <v>2.756</v>
      </c>
      <c r="FS35" s="18"/>
      <c r="FT35" s="18"/>
      <c r="FU35" s="18">
        <f>4.164+1.558</f>
        <v>5.7219999999999995</v>
      </c>
      <c r="FV35" s="18">
        <v>0.345</v>
      </c>
      <c r="FW35" s="18">
        <v>0.345</v>
      </c>
      <c r="FX35" s="18"/>
      <c r="FY35" s="18"/>
      <c r="FZ35" s="18"/>
      <c r="GA35" s="18"/>
      <c r="GB35" s="18"/>
      <c r="GC35" s="18">
        <v>0.865</v>
      </c>
      <c r="GD35" s="18">
        <v>0.689</v>
      </c>
      <c r="GE35" s="18"/>
      <c r="GF35" s="18"/>
      <c r="GG35" s="18"/>
      <c r="GH35" s="18"/>
      <c r="GI35" s="18">
        <v>2.275</v>
      </c>
      <c r="GJ35" s="18">
        <v>11.05</v>
      </c>
      <c r="GK35" s="18">
        <f>2.067+1.752</f>
        <v>3.819</v>
      </c>
      <c r="GL35" s="18">
        <v>1.923</v>
      </c>
      <c r="GM35" s="18">
        <v>1.39</v>
      </c>
      <c r="GN35" s="18"/>
      <c r="GO35" s="18">
        <v>3.446</v>
      </c>
      <c r="GP35" s="18"/>
      <c r="GQ35" s="18"/>
      <c r="GR35" s="18"/>
      <c r="GS35" s="18"/>
      <c r="GT35" s="18">
        <f>5.945+6.202</f>
        <v>12.147</v>
      </c>
      <c r="GU35" s="18">
        <v>2.449</v>
      </c>
      <c r="GV35" s="18">
        <v>1.752</v>
      </c>
      <c r="GW35" s="18"/>
      <c r="GX35" s="18"/>
      <c r="GY35" s="18"/>
      <c r="GZ35" s="18"/>
      <c r="HA35" s="18">
        <v>4.509</v>
      </c>
      <c r="HB35" s="18"/>
      <c r="HC35" s="18">
        <v>0.791</v>
      </c>
      <c r="HD35" s="18">
        <f>1.051+2.768</f>
        <v>3.819</v>
      </c>
      <c r="HE35" s="18">
        <f>2.097+0.895</f>
        <v>2.992</v>
      </c>
      <c r="HF35" s="18"/>
      <c r="HG35" s="18"/>
      <c r="HH35" s="18">
        <v>3.51</v>
      </c>
      <c r="HI35" s="18">
        <v>2.067</v>
      </c>
      <c r="HJ35" s="18">
        <f>1.378+0.872</f>
        <v>2.25</v>
      </c>
      <c r="HK35" s="18"/>
      <c r="HL35" s="18">
        <v>1.051</v>
      </c>
      <c r="HM35" s="18">
        <v>3.446</v>
      </c>
      <c r="HN35" s="18">
        <v>3.506</v>
      </c>
      <c r="HO35" s="18">
        <v>0.172</v>
      </c>
      <c r="HP35" s="18">
        <v>2.079</v>
      </c>
      <c r="HQ35" s="18"/>
      <c r="HR35" s="18"/>
      <c r="HS35" s="18"/>
      <c r="HT35" s="18"/>
      <c r="HU35" s="18"/>
      <c r="HV35" s="18"/>
      <c r="HW35" s="18"/>
      <c r="HX35" s="18"/>
    </row>
    <row r="36" spans="1:232" ht="12.75" customHeight="1">
      <c r="A36" s="2" t="s">
        <v>35</v>
      </c>
      <c r="B36" s="3" t="s">
        <v>306</v>
      </c>
      <c r="C36" s="4" t="s">
        <v>1</v>
      </c>
      <c r="D36" s="18">
        <f t="shared" si="17"/>
        <v>857</v>
      </c>
      <c r="E36" s="18">
        <f t="shared" si="18"/>
        <v>857</v>
      </c>
      <c r="F36" s="18"/>
      <c r="G36" s="18"/>
      <c r="H36" s="18"/>
      <c r="I36" s="18"/>
      <c r="J36" s="18"/>
      <c r="K36" s="18"/>
      <c r="L36" s="18"/>
      <c r="M36" s="18"/>
      <c r="N36" s="18">
        <v>4</v>
      </c>
      <c r="O36" s="18">
        <v>6</v>
      </c>
      <c r="P36" s="18">
        <v>5</v>
      </c>
      <c r="Q36" s="18">
        <v>12</v>
      </c>
      <c r="R36" s="18">
        <v>12</v>
      </c>
      <c r="S36" s="18">
        <v>10</v>
      </c>
      <c r="T36" s="18"/>
      <c r="U36" s="18">
        <v>8</v>
      </c>
      <c r="V36" s="18">
        <v>12</v>
      </c>
      <c r="W36" s="18">
        <v>11</v>
      </c>
      <c r="X36" s="18">
        <v>6</v>
      </c>
      <c r="Y36" s="18"/>
      <c r="Z36" s="18">
        <v>4</v>
      </c>
      <c r="AA36" s="18">
        <v>12</v>
      </c>
      <c r="AB36" s="18">
        <v>8</v>
      </c>
      <c r="AC36" s="18"/>
      <c r="AD36" s="18">
        <v>14</v>
      </c>
      <c r="AE36" s="18">
        <v>9</v>
      </c>
      <c r="AF36" s="18">
        <v>3</v>
      </c>
      <c r="AG36" s="18">
        <v>2</v>
      </c>
      <c r="AH36" s="18">
        <v>5</v>
      </c>
      <c r="AI36" s="18"/>
      <c r="AJ36" s="18">
        <v>1</v>
      </c>
      <c r="AK36" s="18">
        <v>7</v>
      </c>
      <c r="AL36" s="18">
        <v>16</v>
      </c>
      <c r="AM36" s="18"/>
      <c r="AN36" s="18"/>
      <c r="AO36" s="18">
        <v>6</v>
      </c>
      <c r="AP36" s="18">
        <v>5</v>
      </c>
      <c r="AQ36" s="18">
        <v>11</v>
      </c>
      <c r="AR36" s="18"/>
      <c r="AS36" s="18">
        <v>2</v>
      </c>
      <c r="AT36" s="18">
        <v>8</v>
      </c>
      <c r="AU36" s="18"/>
      <c r="AV36" s="18">
        <v>10</v>
      </c>
      <c r="AW36" s="18">
        <v>3</v>
      </c>
      <c r="AX36" s="18"/>
      <c r="AY36" s="18"/>
      <c r="AZ36" s="18">
        <v>8</v>
      </c>
      <c r="BA36" s="18">
        <v>6</v>
      </c>
      <c r="BB36" s="18">
        <v>3</v>
      </c>
      <c r="BC36" s="18">
        <v>7</v>
      </c>
      <c r="BD36" s="18">
        <v>1</v>
      </c>
      <c r="BE36" s="18">
        <v>1</v>
      </c>
      <c r="BF36" s="18">
        <v>3</v>
      </c>
      <c r="BG36" s="18">
        <v>6</v>
      </c>
      <c r="BH36" s="18">
        <v>3</v>
      </c>
      <c r="BI36" s="18">
        <v>8</v>
      </c>
      <c r="BJ36" s="18"/>
      <c r="BK36" s="18"/>
      <c r="BL36" s="18">
        <v>2</v>
      </c>
      <c r="BM36" s="18">
        <v>6</v>
      </c>
      <c r="BN36" s="18">
        <v>2</v>
      </c>
      <c r="BO36" s="18">
        <v>4</v>
      </c>
      <c r="BP36" s="18"/>
      <c r="BQ36" s="18">
        <v>6</v>
      </c>
      <c r="BR36" s="18">
        <v>2</v>
      </c>
      <c r="BS36" s="18">
        <v>2</v>
      </c>
      <c r="BT36" s="18">
        <v>6</v>
      </c>
      <c r="BU36" s="18">
        <v>4</v>
      </c>
      <c r="BV36" s="18">
        <v>2</v>
      </c>
      <c r="BW36" s="18">
        <v>8</v>
      </c>
      <c r="BX36" s="18">
        <v>4</v>
      </c>
      <c r="BY36" s="18"/>
      <c r="BZ36" s="18">
        <v>9</v>
      </c>
      <c r="CA36" s="18">
        <v>10</v>
      </c>
      <c r="CB36" s="18">
        <v>5</v>
      </c>
      <c r="CC36" s="18">
        <v>12</v>
      </c>
      <c r="CD36" s="18">
        <v>12</v>
      </c>
      <c r="CE36" s="18">
        <v>12</v>
      </c>
      <c r="CF36" s="18">
        <v>8</v>
      </c>
      <c r="CG36" s="18">
        <v>20</v>
      </c>
      <c r="CH36" s="18">
        <v>8</v>
      </c>
      <c r="CI36" s="18">
        <v>12</v>
      </c>
      <c r="CJ36" s="18"/>
      <c r="CK36" s="18">
        <v>4</v>
      </c>
      <c r="CL36" s="18"/>
      <c r="CM36" s="18">
        <v>10</v>
      </c>
      <c r="CN36" s="18">
        <v>2</v>
      </c>
      <c r="CO36" s="18">
        <v>1</v>
      </c>
      <c r="CP36" s="18">
        <v>6</v>
      </c>
      <c r="CQ36" s="18"/>
      <c r="CR36" s="18"/>
      <c r="CS36" s="18">
        <v>6</v>
      </c>
      <c r="CT36" s="18"/>
      <c r="CU36" s="18"/>
      <c r="CV36" s="18">
        <v>4</v>
      </c>
      <c r="CW36" s="18"/>
      <c r="CX36" s="18"/>
      <c r="CY36" s="18">
        <v>4</v>
      </c>
      <c r="CZ36" s="18">
        <v>12</v>
      </c>
      <c r="DA36" s="18"/>
      <c r="DB36" s="18"/>
      <c r="DC36" s="18">
        <v>4</v>
      </c>
      <c r="DD36" s="18"/>
      <c r="DE36" s="18">
        <v>1</v>
      </c>
      <c r="DF36" s="18"/>
      <c r="DG36" s="18"/>
      <c r="DH36" s="18"/>
      <c r="DI36" s="18"/>
      <c r="DJ36" s="18"/>
      <c r="DK36" s="18"/>
      <c r="DL36" s="18">
        <v>17</v>
      </c>
      <c r="DM36" s="18"/>
      <c r="DN36" s="18">
        <v>4</v>
      </c>
      <c r="DO36" s="18">
        <v>6</v>
      </c>
      <c r="DP36" s="18">
        <v>6</v>
      </c>
      <c r="DQ36" s="18"/>
      <c r="DR36" s="18">
        <v>7</v>
      </c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>
        <v>2</v>
      </c>
      <c r="EG36" s="18">
        <v>2</v>
      </c>
      <c r="EH36" s="18"/>
      <c r="EI36" s="18">
        <v>4</v>
      </c>
      <c r="EJ36" s="18">
        <v>3</v>
      </c>
      <c r="EK36" s="18">
        <v>4</v>
      </c>
      <c r="EL36" s="18">
        <v>5</v>
      </c>
      <c r="EM36" s="18">
        <v>4</v>
      </c>
      <c r="EN36" s="18"/>
      <c r="EO36" s="18">
        <v>5</v>
      </c>
      <c r="EP36" s="18">
        <v>3</v>
      </c>
      <c r="EQ36" s="18"/>
      <c r="ER36" s="18"/>
      <c r="ES36" s="18">
        <v>8</v>
      </c>
      <c r="ET36" s="18">
        <v>5</v>
      </c>
      <c r="EU36" s="18"/>
      <c r="EV36" s="18">
        <v>4</v>
      </c>
      <c r="EW36" s="18">
        <v>5</v>
      </c>
      <c r="EX36" s="18">
        <v>5</v>
      </c>
      <c r="EY36" s="18"/>
      <c r="EZ36" s="18"/>
      <c r="FA36" s="18"/>
      <c r="FB36" s="18">
        <v>5</v>
      </c>
      <c r="FC36" s="18">
        <v>3</v>
      </c>
      <c r="FD36" s="18">
        <v>7</v>
      </c>
      <c r="FE36" s="18">
        <v>12</v>
      </c>
      <c r="FF36" s="18"/>
      <c r="FG36" s="18">
        <v>12</v>
      </c>
      <c r="FH36" s="18"/>
      <c r="FI36" s="18">
        <v>10</v>
      </c>
      <c r="FJ36" s="18"/>
      <c r="FK36" s="18"/>
      <c r="FL36" s="18">
        <v>8</v>
      </c>
      <c r="FM36" s="18">
        <v>3</v>
      </c>
      <c r="FN36" s="18">
        <v>7</v>
      </c>
      <c r="FO36" s="18"/>
      <c r="FP36" s="18"/>
      <c r="FQ36" s="18">
        <v>4</v>
      </c>
      <c r="FR36" s="18">
        <v>8</v>
      </c>
      <c r="FS36" s="18">
        <v>1</v>
      </c>
      <c r="FT36" s="18">
        <v>3</v>
      </c>
      <c r="FU36" s="18">
        <v>4</v>
      </c>
      <c r="FV36" s="18">
        <v>2</v>
      </c>
      <c r="FW36" s="18">
        <v>4</v>
      </c>
      <c r="FX36" s="18"/>
      <c r="FY36" s="18"/>
      <c r="FZ36" s="18">
        <v>4</v>
      </c>
      <c r="GA36" s="18"/>
      <c r="GB36" s="18">
        <v>7</v>
      </c>
      <c r="GC36" s="18"/>
      <c r="GD36" s="18"/>
      <c r="GE36" s="18">
        <v>6</v>
      </c>
      <c r="GF36" s="18">
        <v>4</v>
      </c>
      <c r="GG36" s="18">
        <v>2</v>
      </c>
      <c r="GH36" s="18">
        <v>2</v>
      </c>
      <c r="GI36" s="18">
        <v>10</v>
      </c>
      <c r="GJ36" s="18">
        <v>5</v>
      </c>
      <c r="GK36" s="18">
        <v>6</v>
      </c>
      <c r="GL36" s="18"/>
      <c r="GM36" s="18">
        <v>10</v>
      </c>
      <c r="GN36" s="18"/>
      <c r="GO36" s="18">
        <v>3</v>
      </c>
      <c r="GP36" s="18">
        <v>4</v>
      </c>
      <c r="GQ36" s="18"/>
      <c r="GR36" s="18">
        <v>10</v>
      </c>
      <c r="GS36" s="18"/>
      <c r="GT36" s="18"/>
      <c r="GU36" s="18">
        <v>6</v>
      </c>
      <c r="GV36" s="18">
        <v>11</v>
      </c>
      <c r="GW36" s="18"/>
      <c r="GX36" s="18"/>
      <c r="GY36" s="18">
        <v>2</v>
      </c>
      <c r="GZ36" s="18">
        <v>2</v>
      </c>
      <c r="HA36" s="18">
        <v>6</v>
      </c>
      <c r="HB36" s="18"/>
      <c r="HC36" s="18"/>
      <c r="HD36" s="18">
        <v>14</v>
      </c>
      <c r="HE36" s="18">
        <v>8</v>
      </c>
      <c r="HF36" s="18"/>
      <c r="HG36" s="18"/>
      <c r="HH36" s="18"/>
      <c r="HI36" s="18"/>
      <c r="HJ36" s="18"/>
      <c r="HK36" s="18"/>
      <c r="HL36" s="18">
        <v>6</v>
      </c>
      <c r="HM36" s="18"/>
      <c r="HN36" s="18"/>
      <c r="HO36" s="18">
        <v>3</v>
      </c>
      <c r="HP36" s="18">
        <v>4</v>
      </c>
      <c r="HQ36" s="18">
        <v>8</v>
      </c>
      <c r="HR36" s="18">
        <v>8</v>
      </c>
      <c r="HS36" s="18">
        <v>4</v>
      </c>
      <c r="HT36" s="18">
        <v>8</v>
      </c>
      <c r="HU36" s="18">
        <v>4</v>
      </c>
      <c r="HV36" s="18"/>
      <c r="HW36" s="18">
        <v>10</v>
      </c>
      <c r="HX36" s="18">
        <v>20</v>
      </c>
    </row>
    <row r="37" spans="1:232" ht="12.75" customHeight="1">
      <c r="A37" s="2"/>
      <c r="B37" s="3"/>
      <c r="C37" s="4" t="s">
        <v>0</v>
      </c>
      <c r="D37" s="18">
        <f t="shared" si="17"/>
        <v>361.5130000000002</v>
      </c>
      <c r="E37" s="18">
        <f t="shared" si="18"/>
        <v>361.5130000000002</v>
      </c>
      <c r="F37" s="18"/>
      <c r="G37" s="18"/>
      <c r="H37" s="18"/>
      <c r="I37" s="18"/>
      <c r="J37" s="18"/>
      <c r="K37" s="18"/>
      <c r="L37" s="18"/>
      <c r="M37" s="18"/>
      <c r="N37" s="18">
        <v>2.028</v>
      </c>
      <c r="O37" s="18">
        <v>2.303</v>
      </c>
      <c r="P37" s="18">
        <v>2.535</v>
      </c>
      <c r="Q37" s="18">
        <v>5.1</v>
      </c>
      <c r="R37" s="18">
        <v>5.1</v>
      </c>
      <c r="S37" s="18">
        <v>4.577</v>
      </c>
      <c r="T37" s="18"/>
      <c r="U37" s="18">
        <v>3.68</v>
      </c>
      <c r="V37" s="18">
        <v>5.404</v>
      </c>
      <c r="W37" s="18">
        <v>4.593</v>
      </c>
      <c r="X37" s="18">
        <v>2.76</v>
      </c>
      <c r="Y37" s="18"/>
      <c r="Z37" s="18">
        <v>1.536</v>
      </c>
      <c r="AA37" s="18">
        <v>5.062</v>
      </c>
      <c r="AB37" s="18">
        <v>3.375</v>
      </c>
      <c r="AC37" s="18"/>
      <c r="AD37" s="18">
        <v>5.888</v>
      </c>
      <c r="AE37" s="18">
        <v>3.696</v>
      </c>
      <c r="AF37" s="18">
        <v>1.182</v>
      </c>
      <c r="AG37" s="18">
        <v>0.826</v>
      </c>
      <c r="AH37" s="18">
        <v>2.195</v>
      </c>
      <c r="AI37" s="18"/>
      <c r="AJ37" s="18">
        <v>0.413</v>
      </c>
      <c r="AK37" s="18">
        <v>2.869</v>
      </c>
      <c r="AL37" s="18">
        <v>6.935</v>
      </c>
      <c r="AM37" s="18"/>
      <c r="AN37" s="18"/>
      <c r="AO37" s="18">
        <v>2.513</v>
      </c>
      <c r="AP37" s="18">
        <v>2.346</v>
      </c>
      <c r="AQ37" s="18">
        <v>4.727</v>
      </c>
      <c r="AR37" s="18"/>
      <c r="AS37" s="18">
        <v>0.826</v>
      </c>
      <c r="AT37" s="18">
        <v>3.492</v>
      </c>
      <c r="AU37" s="18"/>
      <c r="AV37" s="18">
        <v>4.391</v>
      </c>
      <c r="AW37" s="18">
        <v>1.182</v>
      </c>
      <c r="AX37" s="18"/>
      <c r="AY37" s="18"/>
      <c r="AZ37" s="18">
        <v>3.503</v>
      </c>
      <c r="BA37" s="18">
        <v>2.666</v>
      </c>
      <c r="BB37" s="18">
        <v>1.182</v>
      </c>
      <c r="BC37" s="18">
        <v>3.256</v>
      </c>
      <c r="BD37" s="18">
        <v>0.413</v>
      </c>
      <c r="BE37" s="18">
        <v>0.354</v>
      </c>
      <c r="BF37" s="18">
        <v>1.015</v>
      </c>
      <c r="BG37" s="18">
        <v>2.854</v>
      </c>
      <c r="BH37" s="18">
        <v>1.182</v>
      </c>
      <c r="BI37" s="18">
        <v>3.586</v>
      </c>
      <c r="BJ37" s="18"/>
      <c r="BK37" s="18"/>
      <c r="BL37" s="18">
        <v>0.768</v>
      </c>
      <c r="BM37" s="18">
        <v>2.735</v>
      </c>
      <c r="BN37" s="18">
        <v>0.768</v>
      </c>
      <c r="BO37" s="18">
        <v>1.536</v>
      </c>
      <c r="BP37" s="18"/>
      <c r="BQ37" s="18">
        <v>2.303</v>
      </c>
      <c r="BR37" s="18">
        <v>0.768</v>
      </c>
      <c r="BS37" s="18">
        <v>0.768</v>
      </c>
      <c r="BT37" s="18">
        <v>2.303</v>
      </c>
      <c r="BU37" s="18">
        <v>1.536</v>
      </c>
      <c r="BV37" s="18">
        <v>0.768</v>
      </c>
      <c r="BW37" s="18">
        <v>3.072</v>
      </c>
      <c r="BX37" s="18">
        <v>1.536</v>
      </c>
      <c r="BY37" s="18"/>
      <c r="BZ37" s="18">
        <v>3.826</v>
      </c>
      <c r="CA37" s="18">
        <v>3.898</v>
      </c>
      <c r="CB37" s="18">
        <v>2.043</v>
      </c>
      <c r="CC37" s="18">
        <v>4.608</v>
      </c>
      <c r="CD37" s="18">
        <v>4.608</v>
      </c>
      <c r="CE37" s="18">
        <v>4.608</v>
      </c>
      <c r="CF37" s="18">
        <v>3.072</v>
      </c>
      <c r="CG37" s="18">
        <v>7.681</v>
      </c>
      <c r="CH37" s="18">
        <v>3.376</v>
      </c>
      <c r="CI37" s="18">
        <v>4.608</v>
      </c>
      <c r="CJ37" s="18"/>
      <c r="CK37" s="18">
        <v>1.536</v>
      </c>
      <c r="CL37" s="18"/>
      <c r="CM37" s="18">
        <v>4.42</v>
      </c>
      <c r="CN37" s="18">
        <v>0.768</v>
      </c>
      <c r="CO37" s="18">
        <v>0.354</v>
      </c>
      <c r="CP37" s="18">
        <v>2.985</v>
      </c>
      <c r="CQ37" s="18"/>
      <c r="CR37" s="18"/>
      <c r="CS37" s="18">
        <v>2.247</v>
      </c>
      <c r="CT37" s="18"/>
      <c r="CU37" s="18"/>
      <c r="CV37" s="18">
        <v>1.689</v>
      </c>
      <c r="CW37" s="18"/>
      <c r="CX37" s="18"/>
      <c r="CY37" s="18">
        <v>1.722</v>
      </c>
      <c r="CZ37" s="18">
        <v>5.024</v>
      </c>
      <c r="DA37" s="18"/>
      <c r="DB37" s="18"/>
      <c r="DC37" s="18">
        <v>1.791</v>
      </c>
      <c r="DD37" s="18"/>
      <c r="DE37" s="18">
        <v>0.506</v>
      </c>
      <c r="DF37" s="18"/>
      <c r="DG37" s="18"/>
      <c r="DH37" s="18"/>
      <c r="DI37" s="18"/>
      <c r="DJ37" s="18"/>
      <c r="DK37" s="18"/>
      <c r="DL37" s="18">
        <v>7.347</v>
      </c>
      <c r="DM37" s="18"/>
      <c r="DN37" s="18">
        <v>1.724</v>
      </c>
      <c r="DO37" s="18">
        <v>2.303</v>
      </c>
      <c r="DP37" s="18">
        <v>2.303</v>
      </c>
      <c r="DQ37" s="18"/>
      <c r="DR37" s="18">
        <v>2.964</v>
      </c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>
        <v>0.768</v>
      </c>
      <c r="EG37" s="18">
        <v>0.768</v>
      </c>
      <c r="EH37" s="18"/>
      <c r="EI37" s="18">
        <v>1.536</v>
      </c>
      <c r="EJ37" s="18">
        <v>1.182</v>
      </c>
      <c r="EK37" s="18">
        <v>1.536</v>
      </c>
      <c r="EL37" s="18">
        <v>1.949</v>
      </c>
      <c r="EM37" s="18">
        <v>1.536</v>
      </c>
      <c r="EN37" s="18"/>
      <c r="EO37" s="18">
        <v>1.949</v>
      </c>
      <c r="EP37" s="18">
        <v>1.182</v>
      </c>
      <c r="EQ37" s="18"/>
      <c r="ER37" s="18"/>
      <c r="ES37" s="18">
        <v>3.131</v>
      </c>
      <c r="ET37" s="18">
        <v>1.949</v>
      </c>
      <c r="EU37" s="18"/>
      <c r="EV37" s="18">
        <v>1.536</v>
      </c>
      <c r="EW37" s="18">
        <v>2.043</v>
      </c>
      <c r="EX37" s="18">
        <v>2.043</v>
      </c>
      <c r="EY37" s="18"/>
      <c r="EZ37" s="18"/>
      <c r="FA37" s="18"/>
      <c r="FB37" s="18">
        <v>2.043</v>
      </c>
      <c r="FC37" s="18">
        <v>1.239</v>
      </c>
      <c r="FD37" s="18">
        <v>2.666</v>
      </c>
      <c r="FE37" s="18">
        <v>5.31</v>
      </c>
      <c r="FF37" s="18"/>
      <c r="FG37" s="18">
        <v>5.31</v>
      </c>
      <c r="FH37" s="18"/>
      <c r="FI37" s="18">
        <v>4.898</v>
      </c>
      <c r="FJ37" s="18"/>
      <c r="FK37" s="18"/>
      <c r="FL37" s="18">
        <v>4.189</v>
      </c>
      <c r="FM37" s="18">
        <v>1.333</v>
      </c>
      <c r="FN37" s="18">
        <v>3.057</v>
      </c>
      <c r="FO37" s="18"/>
      <c r="FP37" s="18"/>
      <c r="FQ37" s="18">
        <v>1.536</v>
      </c>
      <c r="FR37" s="18">
        <v>3.072</v>
      </c>
      <c r="FS37" s="18">
        <v>0.354</v>
      </c>
      <c r="FT37" s="18">
        <v>1.182</v>
      </c>
      <c r="FU37" s="18">
        <v>1.536</v>
      </c>
      <c r="FV37" s="18">
        <v>0.768</v>
      </c>
      <c r="FW37" s="18">
        <v>1.536</v>
      </c>
      <c r="FX37" s="18"/>
      <c r="FY37" s="18"/>
      <c r="FZ37" s="18">
        <v>1.84</v>
      </c>
      <c r="GA37" s="18"/>
      <c r="GB37" s="18">
        <v>3.148</v>
      </c>
      <c r="GC37" s="18"/>
      <c r="GD37" s="18"/>
      <c r="GE37" s="18">
        <v>2.642</v>
      </c>
      <c r="GF37" s="18">
        <v>1.722</v>
      </c>
      <c r="GG37" s="18">
        <v>0.894</v>
      </c>
      <c r="GH37" s="18">
        <v>0.826</v>
      </c>
      <c r="GI37" s="18">
        <v>4.086</v>
      </c>
      <c r="GJ37" s="18">
        <v>2.238</v>
      </c>
      <c r="GK37" s="18">
        <v>3.231</v>
      </c>
      <c r="GL37" s="18"/>
      <c r="GM37" s="18">
        <v>4.202</v>
      </c>
      <c r="GN37" s="18"/>
      <c r="GO37" s="18">
        <v>1.182</v>
      </c>
      <c r="GP37" s="18">
        <v>1.689</v>
      </c>
      <c r="GQ37" s="18"/>
      <c r="GR37" s="18">
        <v>3.949</v>
      </c>
      <c r="GS37" s="18"/>
      <c r="GT37" s="18"/>
      <c r="GU37" s="18">
        <v>2.551</v>
      </c>
      <c r="GV37" s="18">
        <v>4.779</v>
      </c>
      <c r="GW37" s="18"/>
      <c r="GX37" s="18"/>
      <c r="GY37" s="18">
        <v>0.768</v>
      </c>
      <c r="GZ37" s="18">
        <v>0.826</v>
      </c>
      <c r="HA37" s="18">
        <v>2.749</v>
      </c>
      <c r="HB37" s="18"/>
      <c r="HC37" s="18"/>
      <c r="HD37" s="18">
        <v>6.053</v>
      </c>
      <c r="HE37" s="18">
        <v>3.376</v>
      </c>
      <c r="HF37" s="18"/>
      <c r="HG37" s="18"/>
      <c r="HH37" s="18"/>
      <c r="HI37" s="18"/>
      <c r="HJ37" s="18"/>
      <c r="HK37" s="18"/>
      <c r="HL37" s="18">
        <v>2.513</v>
      </c>
      <c r="HM37" s="18"/>
      <c r="HN37" s="18"/>
      <c r="HO37" s="18">
        <v>1.182</v>
      </c>
      <c r="HP37" s="18">
        <v>2.028</v>
      </c>
      <c r="HQ37" s="18">
        <v>3.072</v>
      </c>
      <c r="HR37" s="18">
        <v>3.565</v>
      </c>
      <c r="HS37" s="18">
        <v>1.536</v>
      </c>
      <c r="HT37" s="18">
        <v>4.189</v>
      </c>
      <c r="HU37" s="18">
        <v>1.536</v>
      </c>
      <c r="HV37" s="18"/>
      <c r="HW37" s="18">
        <v>4.188</v>
      </c>
      <c r="HX37" s="18">
        <v>9.399</v>
      </c>
    </row>
    <row r="38" spans="1:232" ht="12.75" customHeight="1">
      <c r="A38" s="2" t="s">
        <v>34</v>
      </c>
      <c r="B38" s="3" t="s">
        <v>307</v>
      </c>
      <c r="C38" s="4" t="s">
        <v>1</v>
      </c>
      <c r="D38" s="18">
        <f t="shared" si="17"/>
        <v>0</v>
      </c>
      <c r="E38" s="18">
        <f t="shared" si="18"/>
        <v>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</row>
    <row r="39" spans="1:232" ht="12.75" customHeight="1">
      <c r="A39" s="2"/>
      <c r="B39" s="3"/>
      <c r="C39" s="4" t="s">
        <v>0</v>
      </c>
      <c r="D39" s="18">
        <f t="shared" si="17"/>
        <v>0</v>
      </c>
      <c r="E39" s="18">
        <f t="shared" si="18"/>
        <v>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</row>
    <row r="40" spans="1:232" ht="12.75" customHeight="1">
      <c r="A40" s="2" t="s">
        <v>7</v>
      </c>
      <c r="B40" s="3" t="s">
        <v>308</v>
      </c>
      <c r="C40" s="4" t="s">
        <v>24</v>
      </c>
      <c r="D40" s="18">
        <f t="shared" si="17"/>
        <v>3.4997000000000007</v>
      </c>
      <c r="E40" s="18">
        <f t="shared" si="18"/>
        <v>3.4997000000000007</v>
      </c>
      <c r="F40" s="3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>
        <v>0.162</v>
      </c>
      <c r="DB40" s="18"/>
      <c r="DC40" s="18"/>
      <c r="DD40" s="18"/>
      <c r="DE40" s="18"/>
      <c r="DF40" s="18"/>
      <c r="DG40" s="18"/>
      <c r="DH40" s="18">
        <v>3</v>
      </c>
      <c r="DI40" s="18"/>
      <c r="DJ40" s="18"/>
      <c r="DK40" s="18">
        <v>0.167</v>
      </c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>
        <v>0.048</v>
      </c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>
        <v>0.0064</v>
      </c>
      <c r="ET40" s="18"/>
      <c r="EU40" s="18"/>
      <c r="EV40" s="18"/>
      <c r="EW40" s="18"/>
      <c r="EX40" s="18"/>
      <c r="EY40" s="18">
        <v>0.019</v>
      </c>
      <c r="EZ40" s="18">
        <v>0.019</v>
      </c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>
        <v>0.019</v>
      </c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>
        <v>0.0064</v>
      </c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>
        <v>0.0529</v>
      </c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</row>
    <row r="41" spans="1:232" ht="12.75" customHeight="1">
      <c r="A41" s="2"/>
      <c r="B41" s="3"/>
      <c r="C41" s="4" t="s">
        <v>0</v>
      </c>
      <c r="D41" s="18">
        <f t="shared" si="17"/>
        <v>402.50700000000006</v>
      </c>
      <c r="E41" s="18">
        <f t="shared" si="18"/>
        <v>402.50700000000006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>
        <v>129.618</v>
      </c>
      <c r="DB41" s="18"/>
      <c r="DC41" s="18"/>
      <c r="DD41" s="18"/>
      <c r="DE41" s="18"/>
      <c r="DF41" s="18"/>
      <c r="DG41" s="18"/>
      <c r="DH41" s="18">
        <v>3.305</v>
      </c>
      <c r="DI41" s="18"/>
      <c r="DJ41" s="18"/>
      <c r="DK41" s="18">
        <v>133.497</v>
      </c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>
        <v>38.497</v>
      </c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>
        <v>5.1345</v>
      </c>
      <c r="ET41" s="18"/>
      <c r="EU41" s="18"/>
      <c r="EV41" s="18"/>
      <c r="EW41" s="18"/>
      <c r="EX41" s="18"/>
      <c r="EY41" s="18">
        <v>14.833</v>
      </c>
      <c r="EZ41" s="18">
        <v>14.833</v>
      </c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>
        <v>15.404</v>
      </c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>
        <v>5.1345</v>
      </c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>
        <v>42.251</v>
      </c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</row>
    <row r="42" spans="1:232" ht="12.75" customHeight="1">
      <c r="A42" s="2" t="s">
        <v>6</v>
      </c>
      <c r="B42" s="9" t="s">
        <v>333</v>
      </c>
      <c r="C42" s="4" t="s">
        <v>1</v>
      </c>
      <c r="D42" s="18">
        <f t="shared" si="17"/>
        <v>451</v>
      </c>
      <c r="E42" s="18">
        <f t="shared" si="18"/>
        <v>451</v>
      </c>
      <c r="F42" s="18"/>
      <c r="G42" s="18">
        <v>2</v>
      </c>
      <c r="H42" s="18">
        <v>2</v>
      </c>
      <c r="I42" s="18">
        <v>5</v>
      </c>
      <c r="J42" s="18">
        <v>2</v>
      </c>
      <c r="K42" s="18">
        <v>2</v>
      </c>
      <c r="L42" s="18"/>
      <c r="M42" s="18"/>
      <c r="N42" s="18"/>
      <c r="O42" s="18">
        <v>2</v>
      </c>
      <c r="P42" s="18">
        <v>2</v>
      </c>
      <c r="Q42" s="18"/>
      <c r="R42" s="18">
        <v>2</v>
      </c>
      <c r="S42" s="18"/>
      <c r="T42" s="18"/>
      <c r="U42" s="18">
        <v>2</v>
      </c>
      <c r="V42" s="18">
        <v>1</v>
      </c>
      <c r="W42" s="18"/>
      <c r="X42" s="18"/>
      <c r="Y42" s="18"/>
      <c r="Z42" s="18">
        <v>6</v>
      </c>
      <c r="AA42" s="18">
        <v>1</v>
      </c>
      <c r="AB42" s="18">
        <v>1</v>
      </c>
      <c r="AC42" s="18"/>
      <c r="AD42" s="18">
        <v>2</v>
      </c>
      <c r="AE42" s="18"/>
      <c r="AF42" s="18">
        <v>3</v>
      </c>
      <c r="AG42" s="18">
        <v>3</v>
      </c>
      <c r="AH42" s="18">
        <v>1</v>
      </c>
      <c r="AI42" s="18"/>
      <c r="AJ42" s="18"/>
      <c r="AK42" s="18"/>
      <c r="AL42" s="18"/>
      <c r="AM42" s="18"/>
      <c r="AN42" s="18"/>
      <c r="AO42" s="18"/>
      <c r="AP42" s="18"/>
      <c r="AQ42" s="18">
        <v>1</v>
      </c>
      <c r="AR42" s="18"/>
      <c r="AS42" s="18">
        <v>4</v>
      </c>
      <c r="AT42" s="18"/>
      <c r="AU42" s="18">
        <v>1</v>
      </c>
      <c r="AV42" s="18"/>
      <c r="AW42" s="18"/>
      <c r="AX42" s="18"/>
      <c r="AY42" s="18"/>
      <c r="AZ42" s="18">
        <v>5</v>
      </c>
      <c r="BA42" s="18"/>
      <c r="BB42" s="18">
        <v>2</v>
      </c>
      <c r="BC42" s="18">
        <v>7</v>
      </c>
      <c r="BD42" s="18"/>
      <c r="BE42" s="18"/>
      <c r="BF42" s="18"/>
      <c r="BG42" s="18">
        <v>1</v>
      </c>
      <c r="BH42" s="18">
        <v>1</v>
      </c>
      <c r="BI42" s="18">
        <v>5</v>
      </c>
      <c r="BJ42" s="18"/>
      <c r="BK42" s="18"/>
      <c r="BL42" s="18"/>
      <c r="BM42" s="18">
        <v>6</v>
      </c>
      <c r="BN42" s="18"/>
      <c r="BO42" s="18"/>
      <c r="BP42" s="18">
        <v>3</v>
      </c>
      <c r="BQ42" s="18">
        <v>15</v>
      </c>
      <c r="BR42" s="18"/>
      <c r="BS42" s="18"/>
      <c r="BT42" s="18">
        <v>3</v>
      </c>
      <c r="BU42" s="18">
        <v>4</v>
      </c>
      <c r="BV42" s="18"/>
      <c r="BW42" s="18"/>
      <c r="BX42" s="18"/>
      <c r="BY42" s="18"/>
      <c r="BZ42" s="18">
        <v>5</v>
      </c>
      <c r="CA42" s="18">
        <v>1</v>
      </c>
      <c r="CB42" s="18">
        <v>5</v>
      </c>
      <c r="CC42" s="18"/>
      <c r="CD42" s="18"/>
      <c r="CE42" s="18">
        <v>2</v>
      </c>
      <c r="CF42" s="18">
        <v>2</v>
      </c>
      <c r="CG42" s="18">
        <v>2</v>
      </c>
      <c r="CH42" s="18"/>
      <c r="CI42" s="18"/>
      <c r="CJ42" s="18"/>
      <c r="CK42" s="18"/>
      <c r="CL42" s="18"/>
      <c r="CM42" s="18"/>
      <c r="CN42" s="18">
        <v>3</v>
      </c>
      <c r="CO42" s="18">
        <v>1</v>
      </c>
      <c r="CP42" s="18"/>
      <c r="CQ42" s="18"/>
      <c r="CR42" s="18"/>
      <c r="CS42" s="18">
        <v>3</v>
      </c>
      <c r="CT42" s="18"/>
      <c r="CU42" s="18">
        <v>2</v>
      </c>
      <c r="CV42" s="18"/>
      <c r="CW42" s="18"/>
      <c r="CX42" s="18"/>
      <c r="CY42" s="18">
        <v>3</v>
      </c>
      <c r="CZ42" s="18">
        <v>3</v>
      </c>
      <c r="DA42" s="18"/>
      <c r="DB42" s="18"/>
      <c r="DC42" s="18">
        <v>6</v>
      </c>
      <c r="DD42" s="18"/>
      <c r="DE42" s="18"/>
      <c r="DF42" s="18"/>
      <c r="DG42" s="18">
        <f>12+13</f>
        <v>25</v>
      </c>
      <c r="DH42" s="18"/>
      <c r="DI42" s="18">
        <v>2</v>
      </c>
      <c r="DJ42" s="18"/>
      <c r="DK42" s="18"/>
      <c r="DL42" s="18">
        <v>12</v>
      </c>
      <c r="DM42" s="18"/>
      <c r="DN42" s="18"/>
      <c r="DO42" s="18">
        <v>1</v>
      </c>
      <c r="DP42" s="18"/>
      <c r="DQ42" s="18"/>
      <c r="DR42" s="18">
        <v>3</v>
      </c>
      <c r="DS42" s="18">
        <v>9</v>
      </c>
      <c r="DT42" s="18">
        <v>1</v>
      </c>
      <c r="DU42" s="18">
        <v>16</v>
      </c>
      <c r="DV42" s="18">
        <v>16</v>
      </c>
      <c r="DW42" s="18">
        <v>13</v>
      </c>
      <c r="DX42" s="18">
        <v>8</v>
      </c>
      <c r="DY42" s="18">
        <v>9</v>
      </c>
      <c r="DZ42" s="18">
        <v>6</v>
      </c>
      <c r="EA42" s="18">
        <v>2</v>
      </c>
      <c r="EB42" s="18">
        <v>4</v>
      </c>
      <c r="EC42" s="18">
        <v>10</v>
      </c>
      <c r="ED42" s="18"/>
      <c r="EE42" s="18">
        <v>8</v>
      </c>
      <c r="EF42" s="18">
        <v>4</v>
      </c>
      <c r="EG42" s="18">
        <v>1</v>
      </c>
      <c r="EH42" s="18"/>
      <c r="EI42" s="18">
        <v>4</v>
      </c>
      <c r="EJ42" s="18"/>
      <c r="EK42" s="18">
        <v>8</v>
      </c>
      <c r="EL42" s="18">
        <v>3</v>
      </c>
      <c r="EM42" s="18">
        <v>2</v>
      </c>
      <c r="EN42" s="18">
        <v>2</v>
      </c>
      <c r="EO42" s="18">
        <v>2</v>
      </c>
      <c r="EP42" s="18">
        <v>1</v>
      </c>
      <c r="EQ42" s="18"/>
      <c r="ER42" s="18"/>
      <c r="ES42" s="18"/>
      <c r="ET42" s="18">
        <v>2</v>
      </c>
      <c r="EU42" s="18"/>
      <c r="EV42" s="18">
        <v>4</v>
      </c>
      <c r="EW42" s="18">
        <v>5</v>
      </c>
      <c r="EX42" s="18"/>
      <c r="EY42" s="18"/>
      <c r="EZ42" s="18"/>
      <c r="FA42" s="18"/>
      <c r="FB42" s="18">
        <v>5</v>
      </c>
      <c r="FC42" s="18">
        <v>3</v>
      </c>
      <c r="FD42" s="18"/>
      <c r="FE42" s="18">
        <v>1</v>
      </c>
      <c r="FF42" s="18">
        <v>50</v>
      </c>
      <c r="FG42" s="18">
        <v>7</v>
      </c>
      <c r="FH42" s="18"/>
      <c r="FI42" s="18"/>
      <c r="FJ42" s="18"/>
      <c r="FK42" s="18"/>
      <c r="FL42" s="18"/>
      <c r="FM42" s="18">
        <v>3</v>
      </c>
      <c r="FN42" s="18"/>
      <c r="FO42" s="18"/>
      <c r="FP42" s="18"/>
      <c r="FQ42" s="18">
        <v>1</v>
      </c>
      <c r="FR42" s="18"/>
      <c r="FS42" s="18">
        <v>2</v>
      </c>
      <c r="FT42" s="18"/>
      <c r="FU42" s="18"/>
      <c r="FV42" s="18"/>
      <c r="FW42" s="18">
        <v>1</v>
      </c>
      <c r="FX42" s="18"/>
      <c r="FY42" s="18"/>
      <c r="FZ42" s="18"/>
      <c r="GA42" s="18"/>
      <c r="GB42" s="18">
        <v>4</v>
      </c>
      <c r="GC42" s="18"/>
      <c r="GD42" s="18"/>
      <c r="GE42" s="18">
        <v>2</v>
      </c>
      <c r="GF42" s="18">
        <v>1</v>
      </c>
      <c r="GG42" s="18"/>
      <c r="GH42" s="18">
        <v>2</v>
      </c>
      <c r="GI42" s="18">
        <v>1</v>
      </c>
      <c r="GJ42" s="18">
        <v>3</v>
      </c>
      <c r="GK42" s="18">
        <v>5</v>
      </c>
      <c r="GL42" s="18"/>
      <c r="GM42" s="18"/>
      <c r="GN42" s="18"/>
      <c r="GO42" s="18">
        <v>3</v>
      </c>
      <c r="GP42" s="18"/>
      <c r="GQ42" s="18"/>
      <c r="GR42" s="18">
        <v>2</v>
      </c>
      <c r="GS42" s="18">
        <v>4</v>
      </c>
      <c r="GT42" s="18"/>
      <c r="GU42" s="18"/>
      <c r="GV42" s="18"/>
      <c r="GW42" s="18"/>
      <c r="GX42" s="18"/>
      <c r="GY42" s="18"/>
      <c r="GZ42" s="18"/>
      <c r="HA42" s="18">
        <v>2</v>
      </c>
      <c r="HB42" s="18">
        <v>1</v>
      </c>
      <c r="HC42" s="18"/>
      <c r="HD42" s="18"/>
      <c r="HE42" s="18"/>
      <c r="HF42" s="18"/>
      <c r="HG42" s="18"/>
      <c r="HH42" s="18"/>
      <c r="HI42" s="18"/>
      <c r="HJ42" s="18"/>
      <c r="HK42" s="18"/>
      <c r="HL42" s="18">
        <v>12</v>
      </c>
      <c r="HM42" s="18"/>
      <c r="HN42" s="18">
        <v>9</v>
      </c>
      <c r="HO42" s="18">
        <v>2</v>
      </c>
      <c r="HP42" s="18"/>
      <c r="HQ42" s="18"/>
      <c r="HR42" s="18"/>
      <c r="HS42" s="18"/>
      <c r="HT42" s="18"/>
      <c r="HU42" s="18">
        <v>2</v>
      </c>
      <c r="HV42" s="18"/>
      <c r="HW42" s="18"/>
      <c r="HX42" s="18">
        <v>5</v>
      </c>
    </row>
    <row r="43" spans="1:232" ht="12.75" customHeight="1">
      <c r="A43" s="2"/>
      <c r="B43" s="9"/>
      <c r="C43" s="4" t="s">
        <v>0</v>
      </c>
      <c r="D43" s="18">
        <f t="shared" si="17"/>
        <v>606.7909999999995</v>
      </c>
      <c r="E43" s="18">
        <f t="shared" si="18"/>
        <v>606.7909999999995</v>
      </c>
      <c r="F43" s="18"/>
      <c r="G43" s="18">
        <v>2.204</v>
      </c>
      <c r="H43" s="18">
        <v>2.204</v>
      </c>
      <c r="I43" s="18">
        <v>5.902</v>
      </c>
      <c r="J43" s="18">
        <v>2.204</v>
      </c>
      <c r="K43" s="18">
        <v>2.204</v>
      </c>
      <c r="L43" s="18"/>
      <c r="M43" s="18"/>
      <c r="N43" s="18"/>
      <c r="O43" s="18">
        <v>2.204</v>
      </c>
      <c r="P43" s="18">
        <v>2.204</v>
      </c>
      <c r="Q43" s="18"/>
      <c r="R43" s="18">
        <v>2.204</v>
      </c>
      <c r="S43" s="18"/>
      <c r="T43" s="18"/>
      <c r="U43" s="18">
        <v>2.204</v>
      </c>
      <c r="V43" s="18">
        <v>1.102</v>
      </c>
      <c r="W43" s="18"/>
      <c r="X43" s="18"/>
      <c r="Y43" s="18"/>
      <c r="Z43" s="18">
        <v>7.002</v>
      </c>
      <c r="AA43" s="18">
        <v>1.102</v>
      </c>
      <c r="AB43" s="18">
        <v>1.102</v>
      </c>
      <c r="AC43" s="18"/>
      <c r="AD43" s="18">
        <v>2.204</v>
      </c>
      <c r="AE43" s="18"/>
      <c r="AF43" s="18">
        <v>3.696</v>
      </c>
      <c r="AG43" s="18">
        <v>3.696</v>
      </c>
      <c r="AH43" s="18">
        <v>1.102</v>
      </c>
      <c r="AI43" s="18"/>
      <c r="AJ43" s="18"/>
      <c r="AK43" s="18"/>
      <c r="AL43" s="18"/>
      <c r="AM43" s="18"/>
      <c r="AN43" s="18"/>
      <c r="AO43" s="18"/>
      <c r="AP43" s="18"/>
      <c r="AQ43" s="18">
        <v>1.102</v>
      </c>
      <c r="AR43" s="18"/>
      <c r="AS43" s="18">
        <v>2.03</v>
      </c>
      <c r="AT43" s="18"/>
      <c r="AU43" s="18">
        <v>1.102</v>
      </c>
      <c r="AV43" s="18"/>
      <c r="AW43" s="18"/>
      <c r="AX43" s="18"/>
      <c r="AY43" s="18"/>
      <c r="AZ43" s="18">
        <v>4.799</v>
      </c>
      <c r="BA43" s="18"/>
      <c r="BB43" s="18">
        <v>8.397</v>
      </c>
      <c r="BC43" s="18">
        <v>8.495</v>
      </c>
      <c r="BD43" s="18"/>
      <c r="BE43" s="18"/>
      <c r="BF43" s="18"/>
      <c r="BG43" s="18">
        <v>1.102</v>
      </c>
      <c r="BH43" s="18">
        <v>1.102</v>
      </c>
      <c r="BI43" s="18">
        <v>4.799</v>
      </c>
      <c r="BJ43" s="18"/>
      <c r="BK43" s="18"/>
      <c r="BL43" s="18"/>
      <c r="BM43" s="18">
        <v>5.902</v>
      </c>
      <c r="BN43" s="18"/>
      <c r="BO43" s="18"/>
      <c r="BP43" s="18">
        <v>5.096</v>
      </c>
      <c r="BQ43" s="18">
        <v>11.488</v>
      </c>
      <c r="BR43" s="18"/>
      <c r="BS43" s="18"/>
      <c r="BT43" s="18">
        <v>3.305</v>
      </c>
      <c r="BU43" s="18">
        <v>4.408</v>
      </c>
      <c r="BV43" s="18"/>
      <c r="BW43" s="18"/>
      <c r="BX43" s="18"/>
      <c r="BY43" s="18"/>
      <c r="BZ43" s="18">
        <v>5.511</v>
      </c>
      <c r="CA43" s="18">
        <v>1.102</v>
      </c>
      <c r="CB43" s="18">
        <v>5.511</v>
      </c>
      <c r="CC43" s="18"/>
      <c r="CD43" s="18"/>
      <c r="CE43" s="18">
        <v>2.204</v>
      </c>
      <c r="CF43" s="18">
        <v>2.204</v>
      </c>
      <c r="CG43" s="18">
        <v>2.204</v>
      </c>
      <c r="CH43" s="18"/>
      <c r="CI43" s="18"/>
      <c r="CJ43" s="18"/>
      <c r="CK43" s="18"/>
      <c r="CL43" s="18"/>
      <c r="CM43" s="18"/>
      <c r="CN43" s="18">
        <v>3.977</v>
      </c>
      <c r="CO43" s="18">
        <v>1.102</v>
      </c>
      <c r="CP43" s="18"/>
      <c r="CQ43" s="18"/>
      <c r="CR43" s="18"/>
      <c r="CS43" s="18">
        <v>1.523</v>
      </c>
      <c r="CT43" s="18"/>
      <c r="CU43" s="18">
        <v>2.204</v>
      </c>
      <c r="CV43" s="18"/>
      <c r="CW43" s="18"/>
      <c r="CX43" s="18"/>
      <c r="CY43" s="18">
        <v>2.817</v>
      </c>
      <c r="CZ43" s="18">
        <v>3.305</v>
      </c>
      <c r="DA43" s="18"/>
      <c r="DB43" s="18"/>
      <c r="DC43" s="18">
        <v>6.613</v>
      </c>
      <c r="DD43" s="18"/>
      <c r="DE43" s="18"/>
      <c r="DF43" s="18"/>
      <c r="DG43" s="18">
        <f>56.89+14.324</f>
        <v>71.214</v>
      </c>
      <c r="DH43" s="18"/>
      <c r="DI43" s="18">
        <v>2.204</v>
      </c>
      <c r="DJ43" s="18"/>
      <c r="DK43" s="18"/>
      <c r="DL43" s="18">
        <v>14.397</v>
      </c>
      <c r="DM43" s="18"/>
      <c r="DN43" s="18"/>
      <c r="DO43" s="18">
        <v>1.102</v>
      </c>
      <c r="DP43" s="18"/>
      <c r="DQ43" s="18"/>
      <c r="DR43" s="18">
        <v>3.305</v>
      </c>
      <c r="DS43" s="18">
        <v>9.918</v>
      </c>
      <c r="DT43" s="18">
        <v>1.102</v>
      </c>
      <c r="DU43" s="18">
        <v>32.996</v>
      </c>
      <c r="DV43" s="18">
        <v>32.996</v>
      </c>
      <c r="DW43" s="18">
        <v>14.324</v>
      </c>
      <c r="DX43" s="18">
        <v>24.182</v>
      </c>
      <c r="DY43" s="18">
        <v>17.109</v>
      </c>
      <c r="DZ43" s="18">
        <v>10.844</v>
      </c>
      <c r="EA43" s="18">
        <v>2.204</v>
      </c>
      <c r="EB43" s="18">
        <v>4.408</v>
      </c>
      <c r="EC43" s="18">
        <v>11.02</v>
      </c>
      <c r="ED43" s="18"/>
      <c r="EE43" s="18">
        <v>8.816</v>
      </c>
      <c r="EF43" s="18">
        <v>5.079</v>
      </c>
      <c r="EG43" s="18">
        <v>1.102</v>
      </c>
      <c r="EH43" s="18"/>
      <c r="EI43" s="18">
        <v>5.079</v>
      </c>
      <c r="EJ43" s="18"/>
      <c r="EK43" s="18">
        <v>7.172</v>
      </c>
      <c r="EL43" s="18">
        <v>3.305</v>
      </c>
      <c r="EM43" s="18">
        <v>2.204</v>
      </c>
      <c r="EN43" s="18">
        <v>2.204</v>
      </c>
      <c r="EO43" s="18">
        <v>2.204</v>
      </c>
      <c r="EP43" s="18">
        <v>1.102</v>
      </c>
      <c r="EQ43" s="18"/>
      <c r="ER43" s="18"/>
      <c r="ES43" s="18"/>
      <c r="ET43" s="18">
        <v>2.204</v>
      </c>
      <c r="EU43" s="18"/>
      <c r="EV43" s="18">
        <v>4.408</v>
      </c>
      <c r="EW43" s="18">
        <v>5.511</v>
      </c>
      <c r="EX43" s="18"/>
      <c r="EY43" s="18"/>
      <c r="EZ43" s="18"/>
      <c r="FA43" s="18"/>
      <c r="FB43" s="18">
        <v>5.511</v>
      </c>
      <c r="FC43" s="18">
        <v>3.305</v>
      </c>
      <c r="FD43" s="18"/>
      <c r="FE43" s="18">
        <v>1.102</v>
      </c>
      <c r="FF43" s="18">
        <v>42.311</v>
      </c>
      <c r="FG43" s="18">
        <v>7.712</v>
      </c>
      <c r="FH43" s="18"/>
      <c r="FI43" s="18"/>
      <c r="FJ43" s="18"/>
      <c r="FK43" s="18"/>
      <c r="FL43" s="18"/>
      <c r="FM43" s="18">
        <v>15.443</v>
      </c>
      <c r="FN43" s="18"/>
      <c r="FO43" s="18"/>
      <c r="FP43" s="18"/>
      <c r="FQ43" s="18">
        <v>1.102</v>
      </c>
      <c r="FR43" s="18"/>
      <c r="FS43" s="18">
        <v>2.204</v>
      </c>
      <c r="FT43" s="18"/>
      <c r="FU43" s="18"/>
      <c r="FV43" s="18"/>
      <c r="FW43" s="18">
        <v>1.102</v>
      </c>
      <c r="FX43" s="18"/>
      <c r="FY43" s="18"/>
      <c r="FZ43" s="18"/>
      <c r="GA43" s="18"/>
      <c r="GB43" s="18">
        <v>4.799</v>
      </c>
      <c r="GC43" s="18"/>
      <c r="GD43" s="18"/>
      <c r="GE43" s="18">
        <v>2.204</v>
      </c>
      <c r="GF43" s="18">
        <v>0.612</v>
      </c>
      <c r="GG43" s="18"/>
      <c r="GH43" s="18">
        <v>2.204</v>
      </c>
      <c r="GI43" s="18">
        <v>1.102</v>
      </c>
      <c r="GJ43" s="18">
        <v>3.305</v>
      </c>
      <c r="GK43" s="18">
        <v>4.799</v>
      </c>
      <c r="GL43" s="18"/>
      <c r="GM43" s="18"/>
      <c r="GN43" s="18"/>
      <c r="GO43" s="18">
        <v>3.636</v>
      </c>
      <c r="GP43" s="18"/>
      <c r="GQ43" s="18"/>
      <c r="GR43" s="18">
        <v>5.172</v>
      </c>
      <c r="GS43" s="18">
        <v>5.172</v>
      </c>
      <c r="GT43" s="18"/>
      <c r="GU43" s="18"/>
      <c r="GV43" s="18"/>
      <c r="GW43" s="18"/>
      <c r="GX43" s="18"/>
      <c r="GY43" s="18"/>
      <c r="GZ43" s="18"/>
      <c r="HA43" s="18">
        <v>2.204</v>
      </c>
      <c r="HB43" s="18">
        <v>1.102</v>
      </c>
      <c r="HC43" s="18"/>
      <c r="HD43" s="18"/>
      <c r="HE43" s="18"/>
      <c r="HF43" s="18"/>
      <c r="HG43" s="18"/>
      <c r="HH43" s="18"/>
      <c r="HI43" s="18"/>
      <c r="HJ43" s="18"/>
      <c r="HK43" s="18"/>
      <c r="HL43" s="18">
        <v>13.223</v>
      </c>
      <c r="HM43" s="18"/>
      <c r="HN43" s="18">
        <v>8.495</v>
      </c>
      <c r="HO43" s="18">
        <v>2.204</v>
      </c>
      <c r="HP43" s="18"/>
      <c r="HQ43" s="18"/>
      <c r="HR43" s="18"/>
      <c r="HS43" s="18"/>
      <c r="HT43" s="18"/>
      <c r="HU43" s="18">
        <v>2.204</v>
      </c>
      <c r="HV43" s="18"/>
      <c r="HW43" s="18"/>
      <c r="HX43" s="18">
        <v>12.903</v>
      </c>
    </row>
    <row r="44" spans="1:232" ht="12.75" customHeight="1">
      <c r="A44" s="2" t="s">
        <v>5</v>
      </c>
      <c r="B44" s="9" t="s">
        <v>33</v>
      </c>
      <c r="C44" s="4" t="s">
        <v>1</v>
      </c>
      <c r="D44" s="18">
        <f t="shared" si="17"/>
        <v>19</v>
      </c>
      <c r="E44" s="18">
        <f t="shared" si="18"/>
        <v>19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>
        <v>5</v>
      </c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>
        <v>12</v>
      </c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>
        <v>2</v>
      </c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</row>
    <row r="45" spans="1:232" ht="12.75" customHeight="1">
      <c r="A45" s="2"/>
      <c r="B45" s="9"/>
      <c r="C45" s="4" t="s">
        <v>0</v>
      </c>
      <c r="D45" s="18">
        <f t="shared" si="17"/>
        <v>367.209</v>
      </c>
      <c r="E45" s="18">
        <f t="shared" si="18"/>
        <v>367.209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>
        <v>2.064</v>
      </c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>
        <v>364.32</v>
      </c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>
        <v>0.825</v>
      </c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</row>
    <row r="46" spans="1:232" ht="12.75" customHeight="1">
      <c r="A46" s="2" t="s">
        <v>32</v>
      </c>
      <c r="B46" s="9" t="s">
        <v>309</v>
      </c>
      <c r="C46" s="4" t="s">
        <v>1</v>
      </c>
      <c r="D46" s="18">
        <f t="shared" si="17"/>
        <v>763</v>
      </c>
      <c r="E46" s="18">
        <f t="shared" si="18"/>
        <v>763</v>
      </c>
      <c r="F46" s="18"/>
      <c r="G46" s="18">
        <v>4</v>
      </c>
      <c r="H46" s="18">
        <v>4</v>
      </c>
      <c r="I46" s="18">
        <v>4</v>
      </c>
      <c r="J46" s="18">
        <v>2</v>
      </c>
      <c r="K46" s="18">
        <v>2</v>
      </c>
      <c r="L46" s="18"/>
      <c r="M46" s="18"/>
      <c r="N46" s="18">
        <v>2</v>
      </c>
      <c r="O46" s="18">
        <v>3</v>
      </c>
      <c r="P46" s="18">
        <v>2</v>
      </c>
      <c r="Q46" s="18">
        <v>4</v>
      </c>
      <c r="R46" s="18"/>
      <c r="S46" s="18">
        <v>4</v>
      </c>
      <c r="T46" s="18"/>
      <c r="U46" s="18">
        <v>5</v>
      </c>
      <c r="V46" s="18"/>
      <c r="W46" s="18">
        <v>5</v>
      </c>
      <c r="X46" s="18">
        <v>4</v>
      </c>
      <c r="Y46" s="18"/>
      <c r="Z46" s="18">
        <v>4</v>
      </c>
      <c r="AA46" s="18">
        <v>6</v>
      </c>
      <c r="AB46" s="18">
        <v>2</v>
      </c>
      <c r="AC46" s="18"/>
      <c r="AD46" s="18">
        <v>4</v>
      </c>
      <c r="AE46" s="18"/>
      <c r="AF46" s="18">
        <v>2</v>
      </c>
      <c r="AG46" s="18">
        <v>2</v>
      </c>
      <c r="AH46" s="18">
        <v>2</v>
      </c>
      <c r="AI46" s="18"/>
      <c r="AJ46" s="18"/>
      <c r="AK46" s="18">
        <v>2</v>
      </c>
      <c r="AL46" s="18">
        <v>3</v>
      </c>
      <c r="AM46" s="18"/>
      <c r="AN46" s="18"/>
      <c r="AO46" s="18">
        <v>2</v>
      </c>
      <c r="AP46" s="18">
        <v>3</v>
      </c>
      <c r="AQ46" s="18">
        <v>4</v>
      </c>
      <c r="AR46" s="18"/>
      <c r="AS46" s="18">
        <v>4</v>
      </c>
      <c r="AT46" s="18">
        <v>2</v>
      </c>
      <c r="AU46" s="18">
        <v>6</v>
      </c>
      <c r="AV46" s="18">
        <v>5</v>
      </c>
      <c r="AW46" s="18">
        <v>2</v>
      </c>
      <c r="AX46" s="18"/>
      <c r="AY46" s="18">
        <v>5</v>
      </c>
      <c r="AZ46" s="18">
        <v>4</v>
      </c>
      <c r="BA46" s="18">
        <v>2</v>
      </c>
      <c r="BB46" s="18">
        <v>1</v>
      </c>
      <c r="BC46" s="18">
        <v>5</v>
      </c>
      <c r="BD46" s="18">
        <v>1</v>
      </c>
      <c r="BE46" s="18">
        <v>1</v>
      </c>
      <c r="BF46" s="18">
        <v>1</v>
      </c>
      <c r="BG46" s="18">
        <v>2</v>
      </c>
      <c r="BH46" s="18">
        <v>4</v>
      </c>
      <c r="BI46" s="18">
        <v>4</v>
      </c>
      <c r="BJ46" s="18"/>
      <c r="BK46" s="18"/>
      <c r="BL46" s="18">
        <v>2</v>
      </c>
      <c r="BM46" s="18">
        <v>5</v>
      </c>
      <c r="BN46" s="18">
        <v>2</v>
      </c>
      <c r="BO46" s="18">
        <v>3</v>
      </c>
      <c r="BP46" s="18">
        <v>12</v>
      </c>
      <c r="BQ46" s="18">
        <v>15</v>
      </c>
      <c r="BR46" s="18">
        <v>2</v>
      </c>
      <c r="BS46" s="18">
        <v>2</v>
      </c>
      <c r="BT46" s="18">
        <v>4</v>
      </c>
      <c r="BU46" s="18">
        <v>4</v>
      </c>
      <c r="BV46" s="18">
        <v>2</v>
      </c>
      <c r="BW46" s="18">
        <v>3</v>
      </c>
      <c r="BX46" s="18">
        <v>4</v>
      </c>
      <c r="BY46" s="18"/>
      <c r="BZ46" s="18">
        <v>4</v>
      </c>
      <c r="CA46" s="18">
        <v>6</v>
      </c>
      <c r="CB46" s="18">
        <v>4</v>
      </c>
      <c r="CC46" s="18">
        <v>4</v>
      </c>
      <c r="CD46" s="18"/>
      <c r="CE46" s="18">
        <v>4</v>
      </c>
      <c r="CF46" s="18">
        <v>7</v>
      </c>
      <c r="CG46" s="18">
        <v>4</v>
      </c>
      <c r="CH46" s="18"/>
      <c r="CI46" s="18">
        <v>5</v>
      </c>
      <c r="CJ46" s="18"/>
      <c r="CK46" s="18">
        <v>3</v>
      </c>
      <c r="CL46" s="18"/>
      <c r="CM46" s="18"/>
      <c r="CN46" s="18">
        <v>4</v>
      </c>
      <c r="CO46" s="18">
        <v>2</v>
      </c>
      <c r="CP46" s="18"/>
      <c r="CQ46" s="18"/>
      <c r="CR46" s="18"/>
      <c r="CS46" s="18">
        <v>3</v>
      </c>
      <c r="CT46" s="18"/>
      <c r="CU46" s="18">
        <v>5</v>
      </c>
      <c r="CV46" s="18">
        <v>2</v>
      </c>
      <c r="CW46" s="18"/>
      <c r="CX46" s="18"/>
      <c r="CY46" s="18">
        <v>4</v>
      </c>
      <c r="CZ46" s="18">
        <v>2</v>
      </c>
      <c r="DA46" s="18">
        <v>10</v>
      </c>
      <c r="DB46" s="18"/>
      <c r="DC46" s="18">
        <v>4</v>
      </c>
      <c r="DD46" s="18">
        <v>12</v>
      </c>
      <c r="DE46" s="18">
        <v>5</v>
      </c>
      <c r="DF46" s="18">
        <v>13</v>
      </c>
      <c r="DG46" s="18">
        <f>10+12</f>
        <v>22</v>
      </c>
      <c r="DH46" s="18">
        <v>10</v>
      </c>
      <c r="DI46" s="18">
        <v>5</v>
      </c>
      <c r="DJ46" s="18"/>
      <c r="DK46" s="18"/>
      <c r="DL46" s="18">
        <f>12+8</f>
        <v>20</v>
      </c>
      <c r="DM46" s="18"/>
      <c r="DN46" s="18">
        <v>2</v>
      </c>
      <c r="DO46" s="18">
        <v>5</v>
      </c>
      <c r="DP46" s="18">
        <v>3</v>
      </c>
      <c r="DQ46" s="18"/>
      <c r="DR46" s="18">
        <v>2</v>
      </c>
      <c r="DS46" s="18">
        <v>10</v>
      </c>
      <c r="DT46" s="18">
        <v>20</v>
      </c>
      <c r="DU46" s="18"/>
      <c r="DV46" s="18"/>
      <c r="DW46" s="18">
        <v>2</v>
      </c>
      <c r="DX46" s="18">
        <v>19</v>
      </c>
      <c r="DY46" s="18">
        <v>5</v>
      </c>
      <c r="DZ46" s="18">
        <v>6</v>
      </c>
      <c r="EA46" s="18">
        <v>4</v>
      </c>
      <c r="EB46" s="18">
        <v>4</v>
      </c>
      <c r="EC46" s="18"/>
      <c r="ED46" s="18"/>
      <c r="EE46" s="18"/>
      <c r="EF46" s="18">
        <v>5</v>
      </c>
      <c r="EG46" s="18">
        <v>3</v>
      </c>
      <c r="EH46" s="18"/>
      <c r="EI46" s="18">
        <v>6</v>
      </c>
      <c r="EJ46" s="18">
        <v>3</v>
      </c>
      <c r="EK46" s="18">
        <v>4</v>
      </c>
      <c r="EL46" s="18">
        <v>5</v>
      </c>
      <c r="EM46" s="18">
        <v>6</v>
      </c>
      <c r="EN46" s="18">
        <v>5</v>
      </c>
      <c r="EO46" s="18">
        <v>5</v>
      </c>
      <c r="EP46" s="18">
        <v>2</v>
      </c>
      <c r="EQ46" s="18"/>
      <c r="ER46" s="18"/>
      <c r="ES46" s="18">
        <v>15</v>
      </c>
      <c r="ET46" s="18">
        <v>6</v>
      </c>
      <c r="EU46" s="18"/>
      <c r="EV46" s="18">
        <v>4</v>
      </c>
      <c r="EW46" s="18">
        <v>5</v>
      </c>
      <c r="EX46" s="18"/>
      <c r="EY46" s="18"/>
      <c r="EZ46" s="18"/>
      <c r="FA46" s="18"/>
      <c r="FB46" s="18">
        <v>5</v>
      </c>
      <c r="FC46" s="18">
        <v>5</v>
      </c>
      <c r="FD46" s="18">
        <v>4</v>
      </c>
      <c r="FE46" s="18"/>
      <c r="FF46" s="18">
        <v>70</v>
      </c>
      <c r="FG46" s="18">
        <v>5</v>
      </c>
      <c r="FH46" s="18"/>
      <c r="FI46" s="18"/>
      <c r="FJ46" s="18"/>
      <c r="FK46" s="18"/>
      <c r="FL46" s="18">
        <v>4</v>
      </c>
      <c r="FM46" s="18">
        <v>5</v>
      </c>
      <c r="FN46" s="18">
        <v>6</v>
      </c>
      <c r="FO46" s="18"/>
      <c r="FP46" s="18"/>
      <c r="FQ46" s="18">
        <v>3</v>
      </c>
      <c r="FR46" s="18"/>
      <c r="FS46" s="18">
        <v>2</v>
      </c>
      <c r="FT46" s="18">
        <v>4</v>
      </c>
      <c r="FU46" s="18">
        <v>2</v>
      </c>
      <c r="FV46" s="18">
        <v>2</v>
      </c>
      <c r="FW46" s="18">
        <v>5</v>
      </c>
      <c r="FX46" s="18"/>
      <c r="FY46" s="18">
        <v>2</v>
      </c>
      <c r="FZ46" s="18">
        <v>2</v>
      </c>
      <c r="GA46" s="18"/>
      <c r="GB46" s="18">
        <v>4</v>
      </c>
      <c r="GC46" s="18">
        <v>2</v>
      </c>
      <c r="GD46" s="18">
        <v>13</v>
      </c>
      <c r="GE46" s="18">
        <v>4</v>
      </c>
      <c r="GF46" s="18">
        <v>4</v>
      </c>
      <c r="GG46" s="18">
        <v>1</v>
      </c>
      <c r="GH46" s="18">
        <v>6</v>
      </c>
      <c r="GI46" s="18">
        <v>6</v>
      </c>
      <c r="GJ46" s="18">
        <v>5</v>
      </c>
      <c r="GK46" s="18">
        <v>3</v>
      </c>
      <c r="GL46" s="18"/>
      <c r="GM46" s="18">
        <v>4</v>
      </c>
      <c r="GN46" s="18"/>
      <c r="GO46" s="18"/>
      <c r="GP46" s="18">
        <v>2</v>
      </c>
      <c r="GQ46" s="18"/>
      <c r="GR46" s="18">
        <v>2</v>
      </c>
      <c r="GS46" s="18">
        <v>2</v>
      </c>
      <c r="GT46" s="18"/>
      <c r="GU46" s="18">
        <v>4</v>
      </c>
      <c r="GV46" s="18"/>
      <c r="GW46" s="18"/>
      <c r="GX46" s="18"/>
      <c r="GY46" s="18">
        <v>1</v>
      </c>
      <c r="GZ46" s="18">
        <v>2</v>
      </c>
      <c r="HA46" s="18">
        <v>2</v>
      </c>
      <c r="HB46" s="18">
        <v>2</v>
      </c>
      <c r="HC46" s="18">
        <v>2</v>
      </c>
      <c r="HD46" s="18">
        <v>3</v>
      </c>
      <c r="HE46" s="18">
        <v>4</v>
      </c>
      <c r="HF46" s="18"/>
      <c r="HG46" s="18">
        <v>4</v>
      </c>
      <c r="HH46" s="18">
        <v>2</v>
      </c>
      <c r="HI46" s="18"/>
      <c r="HJ46" s="18"/>
      <c r="HK46" s="18"/>
      <c r="HL46" s="18"/>
      <c r="HM46" s="18">
        <v>8</v>
      </c>
      <c r="HN46" s="18">
        <v>3</v>
      </c>
      <c r="HO46" s="18">
        <v>5</v>
      </c>
      <c r="HP46" s="18"/>
      <c r="HQ46" s="18">
        <v>3</v>
      </c>
      <c r="HR46" s="18">
        <v>2</v>
      </c>
      <c r="HS46" s="18">
        <v>3</v>
      </c>
      <c r="HT46" s="18"/>
      <c r="HU46" s="18"/>
      <c r="HV46" s="18">
        <v>2</v>
      </c>
      <c r="HW46" s="18">
        <v>6</v>
      </c>
      <c r="HX46" s="18">
        <v>11</v>
      </c>
    </row>
    <row r="47" spans="1:232" ht="12.75" customHeight="1">
      <c r="A47" s="2"/>
      <c r="B47" s="9"/>
      <c r="C47" s="4" t="s">
        <v>0</v>
      </c>
      <c r="D47" s="18">
        <f t="shared" si="17"/>
        <v>2141.1139999999978</v>
      </c>
      <c r="E47" s="18">
        <f t="shared" si="18"/>
        <v>2141.1139999999978</v>
      </c>
      <c r="F47" s="18"/>
      <c r="G47" s="18">
        <v>5.374</v>
      </c>
      <c r="H47" s="18">
        <v>5.374</v>
      </c>
      <c r="I47" s="18">
        <v>6.138</v>
      </c>
      <c r="J47" s="18">
        <v>2.687</v>
      </c>
      <c r="K47" s="18">
        <v>2.687</v>
      </c>
      <c r="L47" s="18"/>
      <c r="M47" s="18"/>
      <c r="N47" s="18">
        <v>2.687</v>
      </c>
      <c r="O47" s="18">
        <v>0.7</v>
      </c>
      <c r="P47" s="18">
        <v>2.687</v>
      </c>
      <c r="Q47" s="18">
        <v>6.904</v>
      </c>
      <c r="R47" s="18"/>
      <c r="S47" s="18">
        <v>6.138</v>
      </c>
      <c r="T47" s="18"/>
      <c r="U47" s="18">
        <v>79.081</v>
      </c>
      <c r="V47" s="18"/>
      <c r="W47" s="18">
        <v>6.718</v>
      </c>
      <c r="X47" s="18">
        <v>6.138</v>
      </c>
      <c r="Y47" s="18"/>
      <c r="Z47" s="18">
        <v>5.374</v>
      </c>
      <c r="AA47" s="18">
        <v>16.319</v>
      </c>
      <c r="AB47" s="18">
        <v>3.452</v>
      </c>
      <c r="AC47" s="18"/>
      <c r="AD47" s="18">
        <v>6.138</v>
      </c>
      <c r="AE47" s="18"/>
      <c r="AF47" s="18">
        <v>3.452</v>
      </c>
      <c r="AG47" s="18">
        <v>3.452</v>
      </c>
      <c r="AH47" s="18">
        <v>3.452</v>
      </c>
      <c r="AI47" s="18"/>
      <c r="AJ47" s="18"/>
      <c r="AK47" s="18">
        <v>2.687</v>
      </c>
      <c r="AL47" s="18">
        <v>4.794</v>
      </c>
      <c r="AM47" s="18"/>
      <c r="AN47" s="18"/>
      <c r="AO47" s="18">
        <v>2.687</v>
      </c>
      <c r="AP47" s="18">
        <v>4.794</v>
      </c>
      <c r="AQ47" s="18">
        <v>6.138</v>
      </c>
      <c r="AR47" s="18"/>
      <c r="AS47" s="18">
        <v>3.777</v>
      </c>
      <c r="AT47" s="18">
        <v>3.452</v>
      </c>
      <c r="AU47" s="18">
        <v>4.384</v>
      </c>
      <c r="AV47" s="18">
        <v>8.246</v>
      </c>
      <c r="AW47" s="18">
        <v>3.452</v>
      </c>
      <c r="AX47" s="18"/>
      <c r="AY47" s="18">
        <v>8.246</v>
      </c>
      <c r="AZ47" s="18">
        <v>6.904</v>
      </c>
      <c r="BA47" s="18">
        <v>3.452</v>
      </c>
      <c r="BB47" s="18">
        <v>2.107</v>
      </c>
      <c r="BC47" s="18">
        <v>8.246</v>
      </c>
      <c r="BD47" s="18">
        <v>2.107</v>
      </c>
      <c r="BE47" s="18">
        <v>2.107</v>
      </c>
      <c r="BF47" s="18">
        <v>2.107</v>
      </c>
      <c r="BG47" s="18">
        <v>3.452</v>
      </c>
      <c r="BH47" s="18">
        <v>6.138</v>
      </c>
      <c r="BI47" s="18">
        <v>6.904</v>
      </c>
      <c r="BJ47" s="18"/>
      <c r="BK47" s="18"/>
      <c r="BL47" s="18">
        <v>4.216</v>
      </c>
      <c r="BM47" s="18">
        <v>9.776</v>
      </c>
      <c r="BN47" s="18">
        <v>4.216</v>
      </c>
      <c r="BO47" s="18">
        <v>8.615</v>
      </c>
      <c r="BP47" s="18">
        <v>20.708</v>
      </c>
      <c r="BQ47" s="18">
        <v>27.796</v>
      </c>
      <c r="BR47" s="18">
        <v>5.744</v>
      </c>
      <c r="BS47" s="18">
        <v>5.744</v>
      </c>
      <c r="BT47" s="18">
        <v>11.487</v>
      </c>
      <c r="BU47" s="18">
        <v>9.96</v>
      </c>
      <c r="BV47" s="18">
        <v>2.687</v>
      </c>
      <c r="BW47" s="18">
        <v>4.031</v>
      </c>
      <c r="BX47" s="18">
        <v>5.374</v>
      </c>
      <c r="BY47" s="18"/>
      <c r="BZ47" s="18">
        <v>6.138</v>
      </c>
      <c r="CA47" s="18">
        <v>8.061</v>
      </c>
      <c r="CB47" s="18">
        <v>6.138</v>
      </c>
      <c r="CC47" s="18">
        <v>5.374</v>
      </c>
      <c r="CD47" s="18"/>
      <c r="CE47" s="18">
        <v>5.374</v>
      </c>
      <c r="CF47" s="18">
        <v>9.405</v>
      </c>
      <c r="CG47" s="18">
        <v>5.374</v>
      </c>
      <c r="CH47" s="18"/>
      <c r="CI47" s="18">
        <v>6.718</v>
      </c>
      <c r="CJ47" s="18"/>
      <c r="CK47" s="18">
        <v>4.031</v>
      </c>
      <c r="CL47" s="18"/>
      <c r="CM47" s="18"/>
      <c r="CN47" s="18">
        <v>28.305</v>
      </c>
      <c r="CO47" s="18">
        <v>10.33</v>
      </c>
      <c r="CP47" s="18"/>
      <c r="CQ47" s="18"/>
      <c r="CR47" s="18"/>
      <c r="CS47" s="18">
        <v>7.089</v>
      </c>
      <c r="CT47" s="18"/>
      <c r="CU47" s="18">
        <v>8.246</v>
      </c>
      <c r="CV47" s="18">
        <v>4.216</v>
      </c>
      <c r="CW47" s="18"/>
      <c r="CX47" s="18"/>
      <c r="CY47" s="18">
        <v>9.96</v>
      </c>
      <c r="CZ47" s="18">
        <v>6.509</v>
      </c>
      <c r="DA47" s="18">
        <v>19.549</v>
      </c>
      <c r="DB47" s="18"/>
      <c r="DC47" s="18">
        <v>11.487</v>
      </c>
      <c r="DD47" s="18">
        <v>226.931</v>
      </c>
      <c r="DE47" s="18">
        <v>6.718</v>
      </c>
      <c r="DF47" s="18">
        <v>17.466</v>
      </c>
      <c r="DG47" s="18">
        <f>30.252+126.951</f>
        <v>157.203</v>
      </c>
      <c r="DH47" s="18">
        <v>13.435</v>
      </c>
      <c r="DI47" s="18">
        <v>6.718</v>
      </c>
      <c r="DJ47" s="18"/>
      <c r="DK47" s="18"/>
      <c r="DL47" s="18">
        <f>20.708+26.76</f>
        <v>47.468</v>
      </c>
      <c r="DM47" s="18"/>
      <c r="DN47" s="18">
        <v>2.687</v>
      </c>
      <c r="DO47" s="18">
        <v>6.718</v>
      </c>
      <c r="DP47" s="18">
        <v>4.031</v>
      </c>
      <c r="DQ47" s="18"/>
      <c r="DR47" s="18">
        <v>2.687</v>
      </c>
      <c r="DS47" s="18">
        <v>13.435</v>
      </c>
      <c r="DT47" s="18">
        <f>22.82-8.01</f>
        <v>14.81</v>
      </c>
      <c r="DU47" s="18"/>
      <c r="DV47" s="18"/>
      <c r="DW47" s="18">
        <v>2.687</v>
      </c>
      <c r="DX47" s="18">
        <v>25.526</v>
      </c>
      <c r="DY47" s="18">
        <v>6.718</v>
      </c>
      <c r="DZ47" s="18">
        <v>8.061</v>
      </c>
      <c r="EA47" s="18">
        <v>5.374</v>
      </c>
      <c r="EB47" s="18">
        <v>5.374</v>
      </c>
      <c r="EC47" s="18"/>
      <c r="ED47" s="18"/>
      <c r="EE47" s="18"/>
      <c r="EF47" s="18">
        <v>24.435</v>
      </c>
      <c r="EG47" s="18">
        <v>12.125</v>
      </c>
      <c r="EH47" s="18"/>
      <c r="EI47" s="18">
        <v>29.917</v>
      </c>
      <c r="EJ47" s="18">
        <v>7.853</v>
      </c>
      <c r="EK47" s="18">
        <v>16.84</v>
      </c>
      <c r="EL47" s="18">
        <v>9.012</v>
      </c>
      <c r="EM47" s="18">
        <v>25.781</v>
      </c>
      <c r="EN47" s="18">
        <v>8.628</v>
      </c>
      <c r="EO47" s="18">
        <v>22.003</v>
      </c>
      <c r="EP47" s="18">
        <v>4.216</v>
      </c>
      <c r="EQ47" s="18"/>
      <c r="ER47" s="18"/>
      <c r="ES47" s="18">
        <v>29.325</v>
      </c>
      <c r="ET47" s="18">
        <v>11.884</v>
      </c>
      <c r="EU47" s="18"/>
      <c r="EV47" s="18">
        <v>7.668</v>
      </c>
      <c r="EW47" s="18">
        <v>6.718</v>
      </c>
      <c r="EX47" s="18"/>
      <c r="EY47" s="18"/>
      <c r="EZ47" s="18"/>
      <c r="FA47" s="18"/>
      <c r="FB47" s="18">
        <v>6.718</v>
      </c>
      <c r="FC47" s="18">
        <v>7.481</v>
      </c>
      <c r="FD47" s="18">
        <v>5.374</v>
      </c>
      <c r="FE47" s="18"/>
      <c r="FF47" s="18">
        <v>94.046</v>
      </c>
      <c r="FG47" s="18">
        <v>7.481</v>
      </c>
      <c r="FH47" s="18"/>
      <c r="FI47" s="18"/>
      <c r="FJ47" s="18"/>
      <c r="FK47" s="18"/>
      <c r="FL47" s="18">
        <v>6.522</v>
      </c>
      <c r="FM47" s="18">
        <v>75.466</v>
      </c>
      <c r="FN47" s="18">
        <v>8.061</v>
      </c>
      <c r="FO47" s="18"/>
      <c r="FP47" s="18"/>
      <c r="FQ47" s="18">
        <v>4.794</v>
      </c>
      <c r="FR47" s="18"/>
      <c r="FS47" s="18">
        <v>10.33</v>
      </c>
      <c r="FT47" s="18">
        <v>6.138</v>
      </c>
      <c r="FU47" s="18">
        <v>3.452</v>
      </c>
      <c r="FV47" s="18">
        <v>3.452</v>
      </c>
      <c r="FW47" s="18">
        <v>7.481</v>
      </c>
      <c r="FX47" s="18"/>
      <c r="FY47" s="18">
        <v>10.33</v>
      </c>
      <c r="FZ47" s="18">
        <v>3.452</v>
      </c>
      <c r="GA47" s="18"/>
      <c r="GB47" s="18">
        <v>7.668</v>
      </c>
      <c r="GC47" s="18">
        <f>17.974-0.76</f>
        <v>17.214</v>
      </c>
      <c r="GD47" s="18">
        <v>230.059</v>
      </c>
      <c r="GE47" s="18">
        <v>5.374</v>
      </c>
      <c r="GF47" s="18">
        <v>5.374</v>
      </c>
      <c r="GG47" s="18">
        <v>4.401</v>
      </c>
      <c r="GH47" s="18">
        <v>11.119</v>
      </c>
      <c r="GI47" s="18">
        <v>101.502</v>
      </c>
      <c r="GJ47" s="18">
        <v>9.776</v>
      </c>
      <c r="GK47" s="18">
        <v>4.794</v>
      </c>
      <c r="GL47" s="18"/>
      <c r="GM47" s="18">
        <v>7.668</v>
      </c>
      <c r="GN47" s="18"/>
      <c r="GO47" s="18"/>
      <c r="GP47" s="18">
        <v>2.687</v>
      </c>
      <c r="GQ47" s="18"/>
      <c r="GR47" s="18">
        <v>3.452</v>
      </c>
      <c r="GS47" s="18">
        <v>3.452</v>
      </c>
      <c r="GT47" s="18"/>
      <c r="GU47" s="18">
        <v>7.668</v>
      </c>
      <c r="GV47" s="18"/>
      <c r="GW47" s="18"/>
      <c r="GX47" s="18"/>
      <c r="GY47" s="18">
        <v>1.344</v>
      </c>
      <c r="GZ47" s="18">
        <v>3.452</v>
      </c>
      <c r="HA47" s="18">
        <v>3.452</v>
      </c>
      <c r="HB47" s="18">
        <v>3.452</v>
      </c>
      <c r="HC47" s="18">
        <v>3.452</v>
      </c>
      <c r="HD47" s="18">
        <v>5.559</v>
      </c>
      <c r="HE47" s="18">
        <v>7.668</v>
      </c>
      <c r="HF47" s="18"/>
      <c r="HG47" s="18">
        <v>11.487</v>
      </c>
      <c r="HH47" s="18">
        <v>4.981</v>
      </c>
      <c r="HI47" s="18"/>
      <c r="HJ47" s="18"/>
      <c r="HK47" s="18"/>
      <c r="HL47" s="18"/>
      <c r="HM47" s="18">
        <v>16.863</v>
      </c>
      <c r="HN47" s="18">
        <v>4.031</v>
      </c>
      <c r="HO47" s="18">
        <v>6.718</v>
      </c>
      <c r="HP47" s="18"/>
      <c r="HQ47" s="18">
        <v>4.031</v>
      </c>
      <c r="HR47" s="18">
        <v>2.687</v>
      </c>
      <c r="HS47" s="18">
        <v>4.031</v>
      </c>
      <c r="HT47" s="18"/>
      <c r="HU47" s="18"/>
      <c r="HV47" s="18">
        <v>2.687</v>
      </c>
      <c r="HW47" s="18">
        <v>8.825</v>
      </c>
      <c r="HX47" s="18">
        <v>19.365</v>
      </c>
    </row>
    <row r="48" spans="1:232" ht="12.75" customHeight="1">
      <c r="A48" s="2" t="s">
        <v>31</v>
      </c>
      <c r="B48" s="9" t="s">
        <v>310</v>
      </c>
      <c r="C48" s="4" t="s">
        <v>11</v>
      </c>
      <c r="D48" s="18">
        <f t="shared" si="17"/>
        <v>0.6014</v>
      </c>
      <c r="E48" s="18">
        <f t="shared" si="18"/>
        <v>0.6014</v>
      </c>
      <c r="F48" s="18"/>
      <c r="G48" s="18"/>
      <c r="H48" s="18">
        <v>0.008</v>
      </c>
      <c r="I48" s="18"/>
      <c r="J48" s="18"/>
      <c r="K48" s="18"/>
      <c r="L48" s="18"/>
      <c r="M48" s="18">
        <v>0.015</v>
      </c>
      <c r="N48" s="18">
        <v>0.0132</v>
      </c>
      <c r="O48" s="18">
        <v>0.006</v>
      </c>
      <c r="P48" s="18">
        <v>0.0044</v>
      </c>
      <c r="Q48" s="18">
        <v>0.025</v>
      </c>
      <c r="R48" s="18"/>
      <c r="S48" s="18"/>
      <c r="T48" s="18"/>
      <c r="U48" s="18"/>
      <c r="V48" s="18">
        <v>0.024</v>
      </c>
      <c r="W48" s="18"/>
      <c r="X48" s="18"/>
      <c r="Y48" s="18"/>
      <c r="Z48" s="18"/>
      <c r="AA48" s="18"/>
      <c r="AB48" s="18"/>
      <c r="AC48" s="18">
        <v>0.006</v>
      </c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>
        <v>0.008</v>
      </c>
      <c r="BI48" s="18"/>
      <c r="BJ48" s="18">
        <v>0.006</v>
      </c>
      <c r="BK48" s="18"/>
      <c r="BL48" s="18"/>
      <c r="BM48" s="18"/>
      <c r="BN48" s="18"/>
      <c r="BO48" s="18"/>
      <c r="BP48" s="18">
        <v>0.025</v>
      </c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>
        <v>0.012</v>
      </c>
      <c r="CD48" s="18">
        <v>0.003</v>
      </c>
      <c r="CE48" s="18">
        <v>0.003</v>
      </c>
      <c r="CF48" s="18">
        <v>0.006</v>
      </c>
      <c r="CG48" s="18">
        <v>0.006</v>
      </c>
      <c r="CH48" s="18"/>
      <c r="CI48" s="18"/>
      <c r="CJ48" s="18"/>
      <c r="CK48" s="18">
        <v>0.0126</v>
      </c>
      <c r="CL48" s="18"/>
      <c r="CM48" s="18">
        <v>0.006</v>
      </c>
      <c r="CN48" s="18"/>
      <c r="CO48" s="18"/>
      <c r="CP48" s="18">
        <v>0.003</v>
      </c>
      <c r="CQ48" s="18"/>
      <c r="CR48" s="18"/>
      <c r="CS48" s="18">
        <v>0.025</v>
      </c>
      <c r="CT48" s="18">
        <v>0.003</v>
      </c>
      <c r="CU48" s="18"/>
      <c r="CV48" s="18"/>
      <c r="CW48" s="18"/>
      <c r="CX48" s="18"/>
      <c r="CY48" s="18"/>
      <c r="CZ48" s="18"/>
      <c r="DA48" s="18">
        <v>0.015</v>
      </c>
      <c r="DB48" s="18"/>
      <c r="DC48" s="18"/>
      <c r="DD48" s="18"/>
      <c r="DE48" s="18"/>
      <c r="DF48" s="18"/>
      <c r="DG48" s="18"/>
      <c r="DH48" s="18"/>
      <c r="DI48" s="18"/>
      <c r="DJ48" s="18">
        <v>0.005</v>
      </c>
      <c r="DK48" s="18"/>
      <c r="DL48" s="18"/>
      <c r="DM48" s="18">
        <v>0.0042</v>
      </c>
      <c r="DN48" s="18"/>
      <c r="DO48" s="18">
        <v>0.022</v>
      </c>
      <c r="DP48" s="18">
        <v>0.0126</v>
      </c>
      <c r="DQ48" s="18">
        <v>0.0084</v>
      </c>
      <c r="DR48" s="18"/>
      <c r="DS48" s="18"/>
      <c r="DT48" s="18">
        <v>0.01</v>
      </c>
      <c r="DU48" s="18"/>
      <c r="DV48" s="18">
        <v>0.005</v>
      </c>
      <c r="DW48" s="18"/>
      <c r="DX48" s="18">
        <f>0.005+0.005</f>
        <v>0.01</v>
      </c>
      <c r="DY48" s="18"/>
      <c r="DZ48" s="18"/>
      <c r="EA48" s="18"/>
      <c r="EB48" s="18"/>
      <c r="EC48" s="18"/>
      <c r="ED48" s="18"/>
      <c r="EE48" s="18"/>
      <c r="EF48" s="18"/>
      <c r="EG48" s="18"/>
      <c r="EH48" s="18">
        <v>0.0025</v>
      </c>
      <c r="EI48" s="18"/>
      <c r="EJ48" s="18"/>
      <c r="EK48" s="18"/>
      <c r="EL48" s="18"/>
      <c r="EM48" s="18">
        <v>0.004</v>
      </c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>
        <v>0.025</v>
      </c>
      <c r="FA48" s="18">
        <v>0.017</v>
      </c>
      <c r="FB48" s="18"/>
      <c r="FC48" s="18"/>
      <c r="FD48" s="18"/>
      <c r="FE48" s="18"/>
      <c r="FF48" s="18">
        <v>0.005</v>
      </c>
      <c r="FG48" s="18"/>
      <c r="FH48" s="18"/>
      <c r="FI48" s="18"/>
      <c r="FJ48" s="18"/>
      <c r="FK48" s="18"/>
      <c r="FL48" s="18"/>
      <c r="FM48" s="18">
        <v>0.0126</v>
      </c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>
        <v>0.036</v>
      </c>
      <c r="FY48" s="18"/>
      <c r="FZ48" s="18">
        <v>0.008</v>
      </c>
      <c r="GA48" s="18"/>
      <c r="GB48" s="18">
        <v>0.006</v>
      </c>
      <c r="GC48" s="18">
        <f>0.004+0.0025</f>
        <v>0.006500000000000001</v>
      </c>
      <c r="GD48" s="18"/>
      <c r="GE48" s="18"/>
      <c r="GF48" s="18"/>
      <c r="GG48" s="18"/>
      <c r="GH48" s="18"/>
      <c r="GI48" s="18"/>
      <c r="GJ48" s="18"/>
      <c r="GK48" s="18">
        <v>0.025</v>
      </c>
      <c r="GL48" s="18"/>
      <c r="GM48" s="18"/>
      <c r="GN48" s="18"/>
      <c r="GO48" s="18">
        <v>0.006</v>
      </c>
      <c r="GP48" s="18"/>
      <c r="GQ48" s="18"/>
      <c r="GR48" s="18"/>
      <c r="GS48" s="18"/>
      <c r="GT48" s="18">
        <v>0.03</v>
      </c>
      <c r="GU48" s="18"/>
      <c r="GV48" s="18">
        <v>0.015</v>
      </c>
      <c r="GW48" s="18">
        <f>0.006+0.0015</f>
        <v>0.0075</v>
      </c>
      <c r="GX48" s="18"/>
      <c r="GY48" s="18"/>
      <c r="GZ48" s="18"/>
      <c r="HA48" s="18"/>
      <c r="HB48" s="18"/>
      <c r="HC48" s="18"/>
      <c r="HD48" s="18"/>
      <c r="HE48" s="18"/>
      <c r="HF48" s="18">
        <f>0.003+0.0015</f>
        <v>0.0045000000000000005</v>
      </c>
      <c r="HG48" s="18">
        <v>0.025</v>
      </c>
      <c r="HH48" s="18">
        <v>0.006</v>
      </c>
      <c r="HI48" s="18">
        <v>0.005</v>
      </c>
      <c r="HJ48" s="18">
        <v>0.005</v>
      </c>
      <c r="HK48" s="18"/>
      <c r="HL48" s="18">
        <v>0.004</v>
      </c>
      <c r="HM48" s="18">
        <v>0.01</v>
      </c>
      <c r="HN48" s="18"/>
      <c r="HO48" s="18"/>
      <c r="HP48" s="18">
        <v>0.0042</v>
      </c>
      <c r="HQ48" s="18"/>
      <c r="HR48" s="18">
        <v>0.0132</v>
      </c>
      <c r="HS48" s="18"/>
      <c r="HT48" s="18"/>
      <c r="HU48" s="18"/>
      <c r="HV48" s="18">
        <v>0.003</v>
      </c>
      <c r="HW48" s="18"/>
      <c r="HX48" s="18">
        <v>0.003</v>
      </c>
    </row>
    <row r="49" spans="1:232" ht="12.75" customHeight="1">
      <c r="A49" s="2"/>
      <c r="B49" s="9"/>
      <c r="C49" s="4" t="s">
        <v>0</v>
      </c>
      <c r="D49" s="18">
        <f t="shared" si="17"/>
        <v>723.56</v>
      </c>
      <c r="E49" s="18">
        <f t="shared" si="18"/>
        <v>723.56</v>
      </c>
      <c r="F49" s="18"/>
      <c r="G49" s="18"/>
      <c r="H49" s="18">
        <v>9.446</v>
      </c>
      <c r="I49" s="18"/>
      <c r="J49" s="18"/>
      <c r="K49" s="18"/>
      <c r="L49" s="18"/>
      <c r="M49" s="18">
        <v>18.851</v>
      </c>
      <c r="N49" s="18">
        <v>16.494</v>
      </c>
      <c r="O49" s="18">
        <v>3.127</v>
      </c>
      <c r="P49" s="18">
        <v>5.498</v>
      </c>
      <c r="Q49" s="18">
        <v>28.13</v>
      </c>
      <c r="R49" s="18"/>
      <c r="S49" s="18"/>
      <c r="T49" s="18"/>
      <c r="U49" s="18"/>
      <c r="V49" s="18">
        <v>12.508</v>
      </c>
      <c r="W49" s="18"/>
      <c r="X49" s="18"/>
      <c r="Y49" s="18"/>
      <c r="Z49" s="18"/>
      <c r="AA49" s="18"/>
      <c r="AB49" s="18"/>
      <c r="AC49" s="18">
        <v>9.529</v>
      </c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>
        <v>9.446</v>
      </c>
      <c r="BI49" s="18"/>
      <c r="BJ49" s="18">
        <v>9.529</v>
      </c>
      <c r="BK49" s="18"/>
      <c r="BL49" s="18"/>
      <c r="BM49" s="18"/>
      <c r="BN49" s="18"/>
      <c r="BO49" s="18"/>
      <c r="BP49" s="18">
        <v>28.13</v>
      </c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>
        <v>9.279</v>
      </c>
      <c r="CD49" s="18">
        <v>2.32</v>
      </c>
      <c r="CE49" s="18">
        <v>2.32</v>
      </c>
      <c r="CF49" s="18">
        <v>4.64</v>
      </c>
      <c r="CG49" s="18">
        <v>4.64</v>
      </c>
      <c r="CH49" s="18"/>
      <c r="CI49" s="18"/>
      <c r="CJ49" s="18"/>
      <c r="CK49" s="18">
        <v>16.33</v>
      </c>
      <c r="CL49" s="18"/>
      <c r="CM49" s="18">
        <v>3.966</v>
      </c>
      <c r="CN49" s="18"/>
      <c r="CO49" s="18"/>
      <c r="CP49" s="18">
        <v>4.106</v>
      </c>
      <c r="CQ49" s="18"/>
      <c r="CR49" s="18"/>
      <c r="CS49" s="18">
        <v>28.13</v>
      </c>
      <c r="CT49" s="18">
        <v>4.781</v>
      </c>
      <c r="CU49" s="18"/>
      <c r="CV49" s="18"/>
      <c r="CW49" s="18"/>
      <c r="CX49" s="18"/>
      <c r="CY49" s="18"/>
      <c r="CZ49" s="18"/>
      <c r="DA49" s="18">
        <v>18.851</v>
      </c>
      <c r="DB49" s="18"/>
      <c r="DC49" s="18"/>
      <c r="DD49" s="18"/>
      <c r="DE49" s="18"/>
      <c r="DF49" s="18"/>
      <c r="DG49" s="18"/>
      <c r="DH49" s="18"/>
      <c r="DI49" s="18"/>
      <c r="DJ49" s="18">
        <v>6.111</v>
      </c>
      <c r="DK49" s="18"/>
      <c r="DL49" s="18"/>
      <c r="DM49" s="18">
        <v>5.026</v>
      </c>
      <c r="DN49" s="18"/>
      <c r="DO49" s="18">
        <v>27.491</v>
      </c>
      <c r="DP49" s="18">
        <v>15.079</v>
      </c>
      <c r="DQ49" s="18">
        <v>10.053</v>
      </c>
      <c r="DR49" s="18"/>
      <c r="DS49" s="18"/>
      <c r="DT49" s="18">
        <v>12.622</v>
      </c>
      <c r="DU49" s="18"/>
      <c r="DV49" s="18">
        <v>6.111</v>
      </c>
      <c r="DW49" s="18"/>
      <c r="DX49" s="18">
        <f>6.111+10.815</f>
        <v>16.926</v>
      </c>
      <c r="DY49" s="18"/>
      <c r="DZ49" s="18"/>
      <c r="EA49" s="18"/>
      <c r="EB49" s="18"/>
      <c r="EC49" s="18"/>
      <c r="ED49" s="18"/>
      <c r="EE49" s="18"/>
      <c r="EF49" s="18"/>
      <c r="EG49" s="18"/>
      <c r="EH49" s="18">
        <v>4.037</v>
      </c>
      <c r="EI49" s="18"/>
      <c r="EJ49" s="18"/>
      <c r="EK49" s="18"/>
      <c r="EL49" s="18"/>
      <c r="EM49" s="18">
        <v>4.723</v>
      </c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>
        <v>28.538</v>
      </c>
      <c r="FA49" s="18">
        <v>22.51</v>
      </c>
      <c r="FB49" s="18"/>
      <c r="FC49" s="18"/>
      <c r="FD49" s="18"/>
      <c r="FE49" s="18"/>
      <c r="FF49" s="18">
        <v>10.049</v>
      </c>
      <c r="FG49" s="18"/>
      <c r="FH49" s="18"/>
      <c r="FI49" s="18"/>
      <c r="FJ49" s="18"/>
      <c r="FK49" s="18"/>
      <c r="FL49" s="18"/>
      <c r="FM49" s="18">
        <v>16.513</v>
      </c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>
        <v>61.088</v>
      </c>
      <c r="FY49" s="18"/>
      <c r="FZ49" s="18">
        <v>6.186</v>
      </c>
      <c r="GA49" s="18"/>
      <c r="GB49" s="18">
        <v>9.529</v>
      </c>
      <c r="GC49" s="18">
        <f>4.723+2.161</f>
        <v>6.884</v>
      </c>
      <c r="GD49" s="18"/>
      <c r="GE49" s="18"/>
      <c r="GF49" s="18"/>
      <c r="GG49" s="18"/>
      <c r="GH49" s="18"/>
      <c r="GI49" s="18"/>
      <c r="GJ49" s="18"/>
      <c r="GK49" s="18">
        <v>28.538</v>
      </c>
      <c r="GL49" s="18"/>
      <c r="GM49" s="18"/>
      <c r="GN49" s="18"/>
      <c r="GO49" s="18">
        <v>3.966</v>
      </c>
      <c r="GP49" s="18"/>
      <c r="GQ49" s="18"/>
      <c r="GR49" s="18"/>
      <c r="GS49" s="18"/>
      <c r="GT49" s="18">
        <v>37.702</v>
      </c>
      <c r="GU49" s="18"/>
      <c r="GV49" s="18">
        <v>18.851</v>
      </c>
      <c r="GW49" s="18">
        <f>9.529+2.382</f>
        <v>11.911</v>
      </c>
      <c r="GX49" s="18"/>
      <c r="GY49" s="18"/>
      <c r="GZ49" s="18"/>
      <c r="HA49" s="18"/>
      <c r="HB49" s="18"/>
      <c r="HC49" s="18"/>
      <c r="HD49" s="18"/>
      <c r="HE49" s="18"/>
      <c r="HF49" s="18">
        <f>3.542+3.542</f>
        <v>7.084</v>
      </c>
      <c r="HG49" s="18">
        <v>16.086</v>
      </c>
      <c r="HH49" s="18">
        <v>7.899</v>
      </c>
      <c r="HI49" s="18">
        <v>5.591</v>
      </c>
      <c r="HJ49" s="18">
        <v>5.591</v>
      </c>
      <c r="HK49" s="18"/>
      <c r="HL49" s="18">
        <v>7.899</v>
      </c>
      <c r="HM49" s="18">
        <v>25.288</v>
      </c>
      <c r="HN49" s="18"/>
      <c r="HO49" s="18"/>
      <c r="HP49" s="18">
        <v>5.026</v>
      </c>
      <c r="HQ49" s="18"/>
      <c r="HR49" s="18">
        <v>16.494</v>
      </c>
      <c r="HS49" s="18"/>
      <c r="HT49" s="18"/>
      <c r="HU49" s="18"/>
      <c r="HV49" s="18">
        <v>2.32</v>
      </c>
      <c r="HW49" s="18"/>
      <c r="HX49" s="18">
        <v>3.787</v>
      </c>
    </row>
    <row r="50" spans="1:232" ht="12.75" customHeight="1">
      <c r="A50" s="2" t="s">
        <v>4</v>
      </c>
      <c r="B50" s="9" t="s">
        <v>311</v>
      </c>
      <c r="C50" s="4" t="s">
        <v>1</v>
      </c>
      <c r="D50" s="18">
        <f t="shared" si="17"/>
        <v>0</v>
      </c>
      <c r="E50" s="18">
        <f t="shared" si="18"/>
        <v>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</row>
    <row r="51" spans="1:232" ht="12.75" customHeight="1">
      <c r="A51" s="2"/>
      <c r="B51" s="9"/>
      <c r="C51" s="4" t="s">
        <v>0</v>
      </c>
      <c r="D51" s="18">
        <f t="shared" si="17"/>
        <v>0</v>
      </c>
      <c r="E51" s="18">
        <f t="shared" si="18"/>
        <v>0</v>
      </c>
      <c r="F51" s="18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</row>
    <row r="52" spans="1:232" ht="12.75" customHeight="1">
      <c r="A52" s="2" t="s">
        <v>3</v>
      </c>
      <c r="B52" s="3" t="s">
        <v>64</v>
      </c>
      <c r="C52" s="4" t="s">
        <v>1</v>
      </c>
      <c r="D52" s="18">
        <f t="shared" si="17"/>
        <v>0</v>
      </c>
      <c r="E52" s="18">
        <f t="shared" si="18"/>
        <v>0</v>
      </c>
      <c r="F52" s="18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</row>
    <row r="53" spans="1:232" ht="12.75" customHeight="1">
      <c r="A53" s="2"/>
      <c r="B53" s="3"/>
      <c r="C53" s="4" t="s">
        <v>0</v>
      </c>
      <c r="D53" s="18">
        <f t="shared" si="17"/>
        <v>0</v>
      </c>
      <c r="E53" s="18">
        <f t="shared" si="18"/>
        <v>0</v>
      </c>
      <c r="F53" s="18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</row>
    <row r="54" spans="1:232" ht="12.75" customHeight="1">
      <c r="A54" s="2" t="s">
        <v>23</v>
      </c>
      <c r="B54" s="9" t="s">
        <v>312</v>
      </c>
      <c r="C54" s="4" t="s">
        <v>313</v>
      </c>
      <c r="D54" s="18">
        <f t="shared" si="17"/>
        <v>0</v>
      </c>
      <c r="E54" s="18">
        <f t="shared" si="18"/>
        <v>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</row>
    <row r="55" spans="1:232" ht="12.75" customHeight="1">
      <c r="A55" s="2"/>
      <c r="B55" s="9"/>
      <c r="C55" s="4" t="s">
        <v>0</v>
      </c>
      <c r="D55" s="18">
        <f t="shared" si="17"/>
        <v>0</v>
      </c>
      <c r="E55" s="18">
        <f t="shared" si="18"/>
        <v>0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</row>
    <row r="56" spans="1:232" ht="12.75" customHeight="1">
      <c r="A56" s="2" t="s">
        <v>21</v>
      </c>
      <c r="B56" s="9" t="s">
        <v>314</v>
      </c>
      <c r="C56" s="4" t="s">
        <v>1</v>
      </c>
      <c r="D56" s="18">
        <f t="shared" si="17"/>
        <v>5</v>
      </c>
      <c r="E56" s="18">
        <f t="shared" si="18"/>
        <v>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>
        <v>1</v>
      </c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>
        <v>1</v>
      </c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>
        <v>1</v>
      </c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>
        <v>1</v>
      </c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>
        <v>1</v>
      </c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</row>
    <row r="57" spans="1:232" ht="12.75" customHeight="1">
      <c r="A57" s="2"/>
      <c r="B57" s="8"/>
      <c r="C57" s="4" t="s">
        <v>0</v>
      </c>
      <c r="D57" s="18">
        <f t="shared" si="17"/>
        <v>49.132</v>
      </c>
      <c r="E57" s="18">
        <f t="shared" si="18"/>
        <v>49.132</v>
      </c>
      <c r="F57" s="3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>
        <v>3.966</v>
      </c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>
        <v>2.805</v>
      </c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>
        <v>32.459</v>
      </c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>
        <v>4.666</v>
      </c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>
        <v>5.236</v>
      </c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</row>
    <row r="58" spans="1:232" ht="12.75" customHeight="1">
      <c r="A58" s="2" t="s">
        <v>2</v>
      </c>
      <c r="B58" s="9" t="s">
        <v>315</v>
      </c>
      <c r="C58" s="4" t="s">
        <v>1</v>
      </c>
      <c r="D58" s="18">
        <f t="shared" si="17"/>
        <v>0</v>
      </c>
      <c r="E58" s="18">
        <f t="shared" si="18"/>
        <v>0</v>
      </c>
      <c r="F58" s="38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</row>
    <row r="59" spans="1:232" ht="12.75" customHeight="1">
      <c r="A59" s="2"/>
      <c r="B59" s="9"/>
      <c r="C59" s="4" t="s">
        <v>0</v>
      </c>
      <c r="D59" s="18">
        <f t="shared" si="17"/>
        <v>0</v>
      </c>
      <c r="E59" s="18">
        <f t="shared" si="18"/>
        <v>0</v>
      </c>
      <c r="F59" s="38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</row>
    <row r="60" spans="1:232" ht="12.75" customHeight="1">
      <c r="A60" s="2" t="s">
        <v>65</v>
      </c>
      <c r="B60" s="9" t="s">
        <v>316</v>
      </c>
      <c r="C60" s="4" t="s">
        <v>317</v>
      </c>
      <c r="D60" s="18">
        <f t="shared" si="17"/>
        <v>0</v>
      </c>
      <c r="E60" s="18">
        <f t="shared" si="18"/>
        <v>0</v>
      </c>
      <c r="F60" s="38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</row>
    <row r="61" spans="1:232" ht="12.75" customHeight="1">
      <c r="A61" s="2"/>
      <c r="B61" s="9"/>
      <c r="C61" s="4" t="s">
        <v>0</v>
      </c>
      <c r="D61" s="18">
        <f t="shared" si="17"/>
        <v>0</v>
      </c>
      <c r="E61" s="18">
        <f t="shared" si="18"/>
        <v>0</v>
      </c>
      <c r="F61" s="38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</row>
    <row r="62" spans="1:232" ht="12.75" customHeight="1">
      <c r="A62" s="2" t="s">
        <v>318</v>
      </c>
      <c r="B62" s="9" t="s">
        <v>319</v>
      </c>
      <c r="C62" s="4" t="s">
        <v>313</v>
      </c>
      <c r="D62" s="18">
        <f t="shared" si="17"/>
        <v>0</v>
      </c>
      <c r="E62" s="18">
        <f t="shared" si="18"/>
        <v>0</v>
      </c>
      <c r="F62" s="38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</row>
    <row r="63" spans="1:232" ht="12.75" customHeight="1">
      <c r="A63" s="2"/>
      <c r="B63" s="9"/>
      <c r="C63" s="4" t="s">
        <v>0</v>
      </c>
      <c r="D63" s="18">
        <f t="shared" si="17"/>
        <v>0</v>
      </c>
      <c r="E63" s="18">
        <f t="shared" si="18"/>
        <v>0</v>
      </c>
      <c r="F63" s="38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</row>
    <row r="64" spans="1:232" ht="12.75" customHeight="1">
      <c r="A64" s="2" t="s">
        <v>30</v>
      </c>
      <c r="B64" s="3" t="s">
        <v>29</v>
      </c>
      <c r="C64" s="4" t="s">
        <v>0</v>
      </c>
      <c r="D64" s="31">
        <f>E64+F64</f>
        <v>5062.268000000001</v>
      </c>
      <c r="E64" s="31">
        <f>E66+E76+E78</f>
        <v>5062.268000000001</v>
      </c>
      <c r="F64" s="31">
        <f aca="true" t="shared" si="19" ref="F64:BR64">F66+F76+F78</f>
        <v>0</v>
      </c>
      <c r="G64" s="31">
        <f t="shared" si="19"/>
        <v>22.854</v>
      </c>
      <c r="H64" s="31">
        <f t="shared" si="19"/>
        <v>44.314</v>
      </c>
      <c r="I64" s="31">
        <f t="shared" si="19"/>
        <v>22.795</v>
      </c>
      <c r="J64" s="31">
        <f t="shared" si="19"/>
        <v>22.795</v>
      </c>
      <c r="K64" s="31">
        <f t="shared" si="19"/>
        <v>37.995</v>
      </c>
      <c r="L64" s="31">
        <f t="shared" si="19"/>
        <v>11.302</v>
      </c>
      <c r="M64" s="31">
        <f t="shared" si="19"/>
        <v>7.626</v>
      </c>
      <c r="N64" s="31">
        <f t="shared" si="19"/>
        <v>30.358</v>
      </c>
      <c r="O64" s="31">
        <f t="shared" si="19"/>
        <v>30.107</v>
      </c>
      <c r="P64" s="31">
        <f t="shared" si="19"/>
        <v>18.981</v>
      </c>
      <c r="Q64" s="31">
        <f t="shared" si="19"/>
        <v>37.957</v>
      </c>
      <c r="R64" s="31">
        <f t="shared" si="19"/>
        <v>15.528</v>
      </c>
      <c r="S64" s="31">
        <f t="shared" si="19"/>
        <v>15.055</v>
      </c>
      <c r="T64" s="31">
        <f t="shared" si="19"/>
        <v>48.797000000000004</v>
      </c>
      <c r="U64" s="31">
        <f t="shared" si="19"/>
        <v>15.055</v>
      </c>
      <c r="V64" s="31">
        <f t="shared" si="19"/>
        <v>30.107</v>
      </c>
      <c r="W64" s="31">
        <f t="shared" si="19"/>
        <v>3.676</v>
      </c>
      <c r="X64" s="31">
        <f t="shared" si="19"/>
        <v>20.980000000000004</v>
      </c>
      <c r="Y64" s="31">
        <f t="shared" si="19"/>
        <v>0</v>
      </c>
      <c r="Z64" s="31">
        <f t="shared" si="19"/>
        <v>22.795</v>
      </c>
      <c r="AA64" s="31">
        <f t="shared" si="19"/>
        <v>39.502</v>
      </c>
      <c r="AB64" s="31">
        <f t="shared" si="19"/>
        <v>19.089</v>
      </c>
      <c r="AC64" s="31">
        <f t="shared" si="19"/>
        <v>0</v>
      </c>
      <c r="AD64" s="31">
        <f t="shared" si="19"/>
        <v>44.537</v>
      </c>
      <c r="AE64" s="31">
        <f t="shared" si="19"/>
        <v>33.592</v>
      </c>
      <c r="AF64" s="31">
        <f t="shared" si="19"/>
        <v>23.458</v>
      </c>
      <c r="AG64" s="31">
        <f t="shared" si="19"/>
        <v>23.566000000000003</v>
      </c>
      <c r="AH64" s="31">
        <f t="shared" si="19"/>
        <v>16.356</v>
      </c>
      <c r="AI64" s="31">
        <f t="shared" si="19"/>
        <v>0</v>
      </c>
      <c r="AJ64" s="31">
        <f t="shared" si="19"/>
        <v>28.271</v>
      </c>
      <c r="AK64" s="31">
        <f t="shared" si="19"/>
        <v>25.406</v>
      </c>
      <c r="AL64" s="31">
        <f t="shared" si="19"/>
        <v>16.195999999999998</v>
      </c>
      <c r="AM64" s="31">
        <f t="shared" si="19"/>
        <v>7.626</v>
      </c>
      <c r="AN64" s="31">
        <f t="shared" si="19"/>
        <v>0</v>
      </c>
      <c r="AO64" s="31">
        <f t="shared" si="19"/>
        <v>10.293</v>
      </c>
      <c r="AP64" s="31">
        <f t="shared" si="19"/>
        <v>3.004</v>
      </c>
      <c r="AQ64" s="31">
        <f t="shared" si="19"/>
        <v>22.795</v>
      </c>
      <c r="AR64" s="31">
        <f t="shared" si="19"/>
        <v>0</v>
      </c>
      <c r="AS64" s="31">
        <f t="shared" si="19"/>
        <v>15.055</v>
      </c>
      <c r="AT64" s="31">
        <f t="shared" si="19"/>
        <v>24.219</v>
      </c>
      <c r="AU64" s="31">
        <f t="shared" si="19"/>
        <v>7.968</v>
      </c>
      <c r="AV64" s="31">
        <f t="shared" si="19"/>
        <v>21.809</v>
      </c>
      <c r="AW64" s="31">
        <f t="shared" si="19"/>
        <v>31.895000000000003</v>
      </c>
      <c r="AX64" s="31">
        <f t="shared" si="19"/>
        <v>0</v>
      </c>
      <c r="AY64" s="31">
        <f t="shared" si="19"/>
        <v>0</v>
      </c>
      <c r="AZ64" s="31">
        <f t="shared" si="19"/>
        <v>16.448</v>
      </c>
      <c r="BA64" s="31">
        <f t="shared" si="19"/>
        <v>10.542</v>
      </c>
      <c r="BB64" s="31">
        <f t="shared" si="19"/>
        <v>26.432000000000002</v>
      </c>
      <c r="BC64" s="31">
        <f t="shared" si="19"/>
        <v>12.942</v>
      </c>
      <c r="BD64" s="31">
        <f t="shared" si="19"/>
        <v>20.087</v>
      </c>
      <c r="BE64" s="31">
        <f t="shared" si="19"/>
        <v>8.194</v>
      </c>
      <c r="BF64" s="31">
        <f t="shared" si="19"/>
        <v>28.833</v>
      </c>
      <c r="BG64" s="31">
        <f t="shared" si="19"/>
        <v>7.814</v>
      </c>
      <c r="BH64" s="31">
        <f t="shared" si="19"/>
        <v>36.915000000000006</v>
      </c>
      <c r="BI64" s="31">
        <f t="shared" si="19"/>
        <v>17.538</v>
      </c>
      <c r="BJ64" s="31">
        <f t="shared" si="19"/>
        <v>0</v>
      </c>
      <c r="BK64" s="31">
        <f t="shared" si="19"/>
        <v>0</v>
      </c>
      <c r="BL64" s="31">
        <f t="shared" si="19"/>
        <v>7.602</v>
      </c>
      <c r="BM64" s="31">
        <f t="shared" si="19"/>
        <v>26.804</v>
      </c>
      <c r="BN64" s="31">
        <f t="shared" si="19"/>
        <v>7.602</v>
      </c>
      <c r="BO64" s="31">
        <f t="shared" si="19"/>
        <v>61.83800000000001</v>
      </c>
      <c r="BP64" s="31">
        <f t="shared" si="19"/>
        <v>73.83099999999999</v>
      </c>
      <c r="BQ64" s="31">
        <f t="shared" si="19"/>
        <v>87.90100000000001</v>
      </c>
      <c r="BR64" s="31">
        <f t="shared" si="19"/>
        <v>31.448999999999998</v>
      </c>
      <c r="BS64" s="31">
        <f aca="true" t="shared" si="20" ref="BS64:ED64">BS66+BS76+BS78</f>
        <v>10.299</v>
      </c>
      <c r="BT64" s="31">
        <f t="shared" si="20"/>
        <v>56.543</v>
      </c>
      <c r="BU64" s="31">
        <f t="shared" si="20"/>
        <v>30.107</v>
      </c>
      <c r="BV64" s="31">
        <f t="shared" si="20"/>
        <v>0</v>
      </c>
      <c r="BW64" s="31">
        <f t="shared" si="20"/>
        <v>15.861</v>
      </c>
      <c r="BX64" s="31">
        <f t="shared" si="20"/>
        <v>19.132</v>
      </c>
      <c r="BY64" s="31">
        <f t="shared" si="20"/>
        <v>0</v>
      </c>
      <c r="BZ64" s="31">
        <f t="shared" si="20"/>
        <v>28.636</v>
      </c>
      <c r="CA64" s="31">
        <f t="shared" si="20"/>
        <v>56.543</v>
      </c>
      <c r="CB64" s="31">
        <f t="shared" si="20"/>
        <v>41.486000000000004</v>
      </c>
      <c r="CC64" s="31">
        <f t="shared" si="20"/>
        <v>28.867</v>
      </c>
      <c r="CD64" s="31">
        <f t="shared" si="20"/>
        <v>22.795</v>
      </c>
      <c r="CE64" s="31">
        <f t="shared" si="20"/>
        <v>0</v>
      </c>
      <c r="CF64" s="31">
        <f t="shared" si="20"/>
        <v>37.984</v>
      </c>
      <c r="CG64" s="31">
        <f t="shared" si="20"/>
        <v>22.795</v>
      </c>
      <c r="CH64" s="31">
        <f t="shared" si="20"/>
        <v>0</v>
      </c>
      <c r="CI64" s="31">
        <f t="shared" si="20"/>
        <v>61.54900000000001</v>
      </c>
      <c r="CJ64" s="31">
        <f t="shared" si="20"/>
        <v>0</v>
      </c>
      <c r="CK64" s="31">
        <f t="shared" si="20"/>
        <v>30.107</v>
      </c>
      <c r="CL64" s="31">
        <f t="shared" si="20"/>
        <v>0</v>
      </c>
      <c r="CM64" s="31">
        <f t="shared" si="20"/>
        <v>0</v>
      </c>
      <c r="CN64" s="31">
        <f t="shared" si="20"/>
        <v>3.012</v>
      </c>
      <c r="CO64" s="31">
        <f t="shared" si="20"/>
        <v>1.7109999999999999</v>
      </c>
      <c r="CP64" s="31">
        <f t="shared" si="20"/>
        <v>0</v>
      </c>
      <c r="CQ64" s="31">
        <f t="shared" si="20"/>
        <v>0</v>
      </c>
      <c r="CR64" s="31">
        <f t="shared" si="20"/>
        <v>0</v>
      </c>
      <c r="CS64" s="31">
        <f t="shared" si="20"/>
        <v>8.391</v>
      </c>
      <c r="CT64" s="31">
        <f t="shared" si="20"/>
        <v>0</v>
      </c>
      <c r="CU64" s="31">
        <f t="shared" si="20"/>
        <v>29.905</v>
      </c>
      <c r="CV64" s="31">
        <f t="shared" si="20"/>
        <v>7.2059999999999995</v>
      </c>
      <c r="CW64" s="31">
        <f t="shared" si="20"/>
        <v>7.775</v>
      </c>
      <c r="CX64" s="31">
        <f t="shared" si="20"/>
        <v>0</v>
      </c>
      <c r="CY64" s="31">
        <f t="shared" si="20"/>
        <v>29.061</v>
      </c>
      <c r="CZ64" s="31">
        <f t="shared" si="20"/>
        <v>9.613000000000001</v>
      </c>
      <c r="DA64" s="31">
        <f t="shared" si="20"/>
        <v>56.543</v>
      </c>
      <c r="DB64" s="31">
        <f t="shared" si="20"/>
        <v>0</v>
      </c>
      <c r="DC64" s="31">
        <f t="shared" si="20"/>
        <v>5.147</v>
      </c>
      <c r="DD64" s="31">
        <f t="shared" si="20"/>
        <v>0</v>
      </c>
      <c r="DE64" s="31">
        <f t="shared" si="20"/>
        <v>63.893</v>
      </c>
      <c r="DF64" s="31">
        <f t="shared" si="20"/>
        <v>41.132999999999996</v>
      </c>
      <c r="DG64" s="31">
        <f t="shared" si="20"/>
        <v>281.956</v>
      </c>
      <c r="DH64" s="31">
        <f t="shared" si="20"/>
        <v>89.12</v>
      </c>
      <c r="DI64" s="31">
        <f t="shared" si="20"/>
        <v>94.34700000000001</v>
      </c>
      <c r="DJ64" s="31">
        <f t="shared" si="20"/>
        <v>89.172</v>
      </c>
      <c r="DK64" s="31">
        <f t="shared" si="20"/>
        <v>0</v>
      </c>
      <c r="DL64" s="31">
        <f t="shared" si="20"/>
        <v>29.607</v>
      </c>
      <c r="DM64" s="31">
        <f t="shared" si="20"/>
        <v>0</v>
      </c>
      <c r="DN64" s="31">
        <f t="shared" si="20"/>
        <v>22.339000000000002</v>
      </c>
      <c r="DO64" s="31">
        <f t="shared" si="20"/>
        <v>56.543</v>
      </c>
      <c r="DP64" s="31">
        <f t="shared" si="20"/>
        <v>37.81100000000001</v>
      </c>
      <c r="DQ64" s="31">
        <f t="shared" si="20"/>
        <v>0</v>
      </c>
      <c r="DR64" s="31">
        <f t="shared" si="20"/>
        <v>41.486000000000004</v>
      </c>
      <c r="DS64" s="31">
        <f t="shared" si="20"/>
        <v>149.888</v>
      </c>
      <c r="DT64" s="31">
        <f t="shared" si="20"/>
        <v>0</v>
      </c>
      <c r="DU64" s="31">
        <f t="shared" si="20"/>
        <v>72.971</v>
      </c>
      <c r="DV64" s="31">
        <f t="shared" si="20"/>
        <v>8.015</v>
      </c>
      <c r="DW64" s="31">
        <f t="shared" si="20"/>
        <v>1.062</v>
      </c>
      <c r="DX64" s="31">
        <f t="shared" si="20"/>
        <v>23.945</v>
      </c>
      <c r="DY64" s="31">
        <f t="shared" si="20"/>
        <v>51.921</v>
      </c>
      <c r="DZ64" s="31">
        <f t="shared" si="20"/>
        <v>25.824</v>
      </c>
      <c r="EA64" s="31">
        <f t="shared" si="20"/>
        <v>25.824</v>
      </c>
      <c r="EB64" s="31">
        <f t="shared" si="20"/>
        <v>45.824</v>
      </c>
      <c r="EC64" s="31">
        <f t="shared" si="20"/>
        <v>26.212</v>
      </c>
      <c r="ED64" s="31">
        <f t="shared" si="20"/>
        <v>12.839</v>
      </c>
      <c r="EE64" s="31">
        <f aca="true" t="shared" si="21" ref="EE64:GP64">EE66+EE76+EE78</f>
        <v>33.84</v>
      </c>
      <c r="EF64" s="31">
        <f t="shared" si="21"/>
        <v>22.207</v>
      </c>
      <c r="EG64" s="31">
        <f t="shared" si="21"/>
        <v>17.805</v>
      </c>
      <c r="EH64" s="31">
        <f t="shared" si="21"/>
        <v>12.008</v>
      </c>
      <c r="EI64" s="31">
        <f t="shared" si="21"/>
        <v>7.068999999999999</v>
      </c>
      <c r="EJ64" s="31">
        <f t="shared" si="21"/>
        <v>6.502</v>
      </c>
      <c r="EK64" s="31">
        <f t="shared" si="21"/>
        <v>8.087</v>
      </c>
      <c r="EL64" s="31">
        <f t="shared" si="21"/>
        <v>25.744</v>
      </c>
      <c r="EM64" s="31">
        <f t="shared" si="21"/>
        <v>10.233999999999998</v>
      </c>
      <c r="EN64" s="31">
        <f t="shared" si="21"/>
        <v>10.616</v>
      </c>
      <c r="EO64" s="31">
        <f t="shared" si="21"/>
        <v>22.793</v>
      </c>
      <c r="EP64" s="31">
        <f t="shared" si="21"/>
        <v>30.107</v>
      </c>
      <c r="EQ64" s="31">
        <f t="shared" si="21"/>
        <v>18.791</v>
      </c>
      <c r="ER64" s="31">
        <f t="shared" si="21"/>
        <v>0</v>
      </c>
      <c r="ES64" s="31">
        <f t="shared" si="21"/>
        <v>14.281</v>
      </c>
      <c r="ET64" s="31">
        <f t="shared" si="21"/>
        <v>30.107</v>
      </c>
      <c r="EU64" s="31">
        <f t="shared" si="21"/>
        <v>0</v>
      </c>
      <c r="EV64" s="31">
        <f t="shared" si="21"/>
        <v>2.942</v>
      </c>
      <c r="EW64" s="31">
        <f t="shared" si="21"/>
        <v>56.543</v>
      </c>
      <c r="EX64" s="31">
        <f t="shared" si="21"/>
        <v>3.676</v>
      </c>
      <c r="EY64" s="31">
        <f t="shared" si="21"/>
        <v>0</v>
      </c>
      <c r="EZ64" s="31">
        <f t="shared" si="21"/>
        <v>0</v>
      </c>
      <c r="FA64" s="31">
        <f t="shared" si="21"/>
        <v>0</v>
      </c>
      <c r="FB64" s="31">
        <f t="shared" si="21"/>
        <v>19.803</v>
      </c>
      <c r="FC64" s="31">
        <f t="shared" si="21"/>
        <v>31.106</v>
      </c>
      <c r="FD64" s="31">
        <f t="shared" si="21"/>
        <v>18.23</v>
      </c>
      <c r="FE64" s="31">
        <f t="shared" si="21"/>
        <v>56.543</v>
      </c>
      <c r="FF64" s="31">
        <f t="shared" si="21"/>
        <v>162.012</v>
      </c>
      <c r="FG64" s="31">
        <f t="shared" si="21"/>
        <v>10.546</v>
      </c>
      <c r="FH64" s="31">
        <f t="shared" si="21"/>
        <v>0</v>
      </c>
      <c r="FI64" s="31">
        <f t="shared" si="21"/>
        <v>41.486000000000004</v>
      </c>
      <c r="FJ64" s="31">
        <f t="shared" si="21"/>
        <v>0</v>
      </c>
      <c r="FK64" s="31">
        <f t="shared" si="21"/>
        <v>28.415</v>
      </c>
      <c r="FL64" s="31">
        <f t="shared" si="21"/>
        <v>30.107</v>
      </c>
      <c r="FM64" s="31">
        <f t="shared" si="21"/>
        <v>11.302</v>
      </c>
      <c r="FN64" s="31">
        <f t="shared" si="21"/>
        <v>0</v>
      </c>
      <c r="FO64" s="31">
        <f t="shared" si="21"/>
        <v>0</v>
      </c>
      <c r="FP64" s="31">
        <f t="shared" si="21"/>
        <v>19.118</v>
      </c>
      <c r="FQ64" s="31">
        <f t="shared" si="21"/>
        <v>26.908</v>
      </c>
      <c r="FR64" s="31">
        <f t="shared" si="21"/>
        <v>4.561</v>
      </c>
      <c r="FS64" s="31">
        <f t="shared" si="21"/>
        <v>22.406</v>
      </c>
      <c r="FT64" s="31">
        <f t="shared" si="21"/>
        <v>29.982</v>
      </c>
      <c r="FU64" s="31">
        <f t="shared" si="21"/>
        <v>22.795</v>
      </c>
      <c r="FV64" s="31">
        <f t="shared" si="21"/>
        <v>20.980000000000004</v>
      </c>
      <c r="FW64" s="31">
        <f t="shared" si="21"/>
        <v>25.083000000000002</v>
      </c>
      <c r="FX64" s="31">
        <f t="shared" si="21"/>
        <v>0</v>
      </c>
      <c r="FY64" s="31">
        <f t="shared" si="21"/>
        <v>0</v>
      </c>
      <c r="FZ64" s="31">
        <f t="shared" si="21"/>
        <v>9.277000000000001</v>
      </c>
      <c r="GA64" s="31">
        <f t="shared" si="21"/>
        <v>0</v>
      </c>
      <c r="GB64" s="31">
        <f t="shared" si="21"/>
        <v>30.249</v>
      </c>
      <c r="GC64" s="31">
        <f t="shared" si="21"/>
        <v>0</v>
      </c>
      <c r="GD64" s="31">
        <f t="shared" si="21"/>
        <v>15.867</v>
      </c>
      <c r="GE64" s="31">
        <f t="shared" si="21"/>
        <v>13.690000000000001</v>
      </c>
      <c r="GF64" s="31">
        <f t="shared" si="21"/>
        <v>17.152</v>
      </c>
      <c r="GG64" s="31">
        <f t="shared" si="21"/>
        <v>38.604</v>
      </c>
      <c r="GH64" s="31">
        <f t="shared" si="21"/>
        <v>31.058</v>
      </c>
      <c r="GI64" s="31">
        <f t="shared" si="21"/>
        <v>0</v>
      </c>
      <c r="GJ64" s="31">
        <f t="shared" si="21"/>
        <v>3.826</v>
      </c>
      <c r="GK64" s="31">
        <f t="shared" si="21"/>
        <v>19.394</v>
      </c>
      <c r="GL64" s="31">
        <f t="shared" si="21"/>
        <v>0</v>
      </c>
      <c r="GM64" s="31">
        <f t="shared" si="21"/>
        <v>13.106</v>
      </c>
      <c r="GN64" s="31">
        <f t="shared" si="21"/>
        <v>0</v>
      </c>
      <c r="GO64" s="31">
        <f t="shared" si="21"/>
        <v>33.001</v>
      </c>
      <c r="GP64" s="31">
        <f t="shared" si="21"/>
        <v>15.055</v>
      </c>
      <c r="GQ64" s="31">
        <f aca="true" t="shared" si="22" ref="GQ64:HX64">GQ66+GQ76+GQ78</f>
        <v>0</v>
      </c>
      <c r="GR64" s="31">
        <f t="shared" si="22"/>
        <v>36.272</v>
      </c>
      <c r="GS64" s="31">
        <f t="shared" si="22"/>
        <v>36.272</v>
      </c>
      <c r="GT64" s="31">
        <f t="shared" si="22"/>
        <v>0</v>
      </c>
      <c r="GU64" s="31">
        <f t="shared" si="22"/>
        <v>26.432000000000002</v>
      </c>
      <c r="GV64" s="31">
        <f t="shared" si="22"/>
        <v>10.571</v>
      </c>
      <c r="GW64" s="31">
        <f t="shared" si="22"/>
        <v>0</v>
      </c>
      <c r="GX64" s="31">
        <f t="shared" si="22"/>
        <v>0</v>
      </c>
      <c r="GY64" s="31">
        <f t="shared" si="22"/>
        <v>15.040000000000001</v>
      </c>
      <c r="GZ64" s="31">
        <f t="shared" si="22"/>
        <v>20.980000000000004</v>
      </c>
      <c r="HA64" s="31">
        <f t="shared" si="22"/>
        <v>29.011000000000003</v>
      </c>
      <c r="HB64" s="31">
        <f t="shared" si="22"/>
        <v>0</v>
      </c>
      <c r="HC64" s="31">
        <f t="shared" si="22"/>
        <v>21.548000000000002</v>
      </c>
      <c r="HD64" s="31">
        <f t="shared" si="22"/>
        <v>19.724</v>
      </c>
      <c r="HE64" s="31">
        <f t="shared" si="22"/>
        <v>18.631</v>
      </c>
      <c r="HF64" s="31">
        <f t="shared" si="22"/>
        <v>0</v>
      </c>
      <c r="HG64" s="31">
        <f t="shared" si="22"/>
        <v>42.047</v>
      </c>
      <c r="HH64" s="31">
        <f t="shared" si="22"/>
        <v>18.807</v>
      </c>
      <c r="HI64" s="31">
        <f t="shared" si="22"/>
        <v>0</v>
      </c>
      <c r="HJ64" s="31">
        <f t="shared" si="22"/>
        <v>0</v>
      </c>
      <c r="HK64" s="31">
        <f t="shared" si="22"/>
        <v>26.432000000000002</v>
      </c>
      <c r="HL64" s="31">
        <f t="shared" si="22"/>
        <v>56.904</v>
      </c>
      <c r="HM64" s="31">
        <f t="shared" si="22"/>
        <v>18.502000000000002</v>
      </c>
      <c r="HN64" s="31">
        <f t="shared" si="22"/>
        <v>24.275</v>
      </c>
      <c r="HO64" s="31">
        <f t="shared" si="22"/>
        <v>18.611</v>
      </c>
      <c r="HP64" s="31">
        <f t="shared" si="22"/>
        <v>24.788</v>
      </c>
      <c r="HQ64" s="31">
        <f t="shared" si="22"/>
        <v>38.173</v>
      </c>
      <c r="HR64" s="31">
        <f t="shared" si="22"/>
        <v>45.583</v>
      </c>
      <c r="HS64" s="31">
        <f t="shared" si="22"/>
        <v>30.107</v>
      </c>
      <c r="HT64" s="31">
        <f t="shared" si="22"/>
        <v>0</v>
      </c>
      <c r="HU64" s="31">
        <f t="shared" si="22"/>
        <v>20.429</v>
      </c>
      <c r="HV64" s="31">
        <f t="shared" si="22"/>
        <v>22.827</v>
      </c>
      <c r="HW64" s="31">
        <f t="shared" si="22"/>
        <v>7.351</v>
      </c>
      <c r="HX64" s="31">
        <f t="shared" si="22"/>
        <v>8.651</v>
      </c>
    </row>
    <row r="65" spans="1:232" ht="12.75" customHeight="1">
      <c r="A65" s="2" t="s">
        <v>320</v>
      </c>
      <c r="B65" s="3" t="s">
        <v>321</v>
      </c>
      <c r="C65" s="4" t="s">
        <v>24</v>
      </c>
      <c r="D65" s="39">
        <f>E65+F65</f>
        <v>4.629199999999999</v>
      </c>
      <c r="E65" s="39">
        <f>E67+E69+E71+E73</f>
        <v>4.629199999999999</v>
      </c>
      <c r="F65" s="40">
        <f aca="true" t="shared" si="23" ref="F65:BR65">F67+F69+F71+F73</f>
        <v>0</v>
      </c>
      <c r="G65" s="40">
        <f t="shared" si="23"/>
        <v>0.02</v>
      </c>
      <c r="H65" s="40">
        <f t="shared" si="23"/>
        <v>0.037</v>
      </c>
      <c r="I65" s="40">
        <f t="shared" si="23"/>
        <v>0.02</v>
      </c>
      <c r="J65" s="40">
        <f t="shared" si="23"/>
        <v>0.02</v>
      </c>
      <c r="K65" s="40">
        <f t="shared" si="23"/>
        <v>0.02</v>
      </c>
      <c r="L65" s="40">
        <f t="shared" si="23"/>
        <v>0.01</v>
      </c>
      <c r="M65" s="40">
        <f t="shared" si="23"/>
        <v>0.01</v>
      </c>
      <c r="N65" s="40">
        <f t="shared" si="23"/>
        <v>0.03</v>
      </c>
      <c r="O65" s="40">
        <f t="shared" si="23"/>
        <v>0.03</v>
      </c>
      <c r="P65" s="40">
        <f t="shared" si="23"/>
        <v>0.015</v>
      </c>
      <c r="Q65" s="40">
        <f t="shared" si="23"/>
        <v>0.03</v>
      </c>
      <c r="R65" s="40">
        <f t="shared" si="23"/>
        <v>0.02</v>
      </c>
      <c r="S65" s="40">
        <f t="shared" si="23"/>
        <v>0.015</v>
      </c>
      <c r="T65" s="40">
        <f t="shared" si="23"/>
        <v>0.045</v>
      </c>
      <c r="U65" s="40">
        <f t="shared" si="23"/>
        <v>0.015</v>
      </c>
      <c r="V65" s="40">
        <f t="shared" si="23"/>
        <v>0.03</v>
      </c>
      <c r="W65" s="40">
        <f t="shared" si="23"/>
        <v>0</v>
      </c>
      <c r="X65" s="40">
        <f t="shared" si="23"/>
        <v>0.025</v>
      </c>
      <c r="Y65" s="40"/>
      <c r="Z65" s="40">
        <f t="shared" si="23"/>
        <v>0.02</v>
      </c>
      <c r="AA65" s="40">
        <f t="shared" si="23"/>
        <v>0.04</v>
      </c>
      <c r="AB65" s="40">
        <f t="shared" si="23"/>
        <v>0.02</v>
      </c>
      <c r="AC65" s="40">
        <f t="shared" si="23"/>
        <v>0</v>
      </c>
      <c r="AD65" s="40">
        <f t="shared" si="23"/>
        <v>0.04</v>
      </c>
      <c r="AE65" s="40">
        <f t="shared" si="23"/>
        <v>0.034999999999999996</v>
      </c>
      <c r="AF65" s="40">
        <f t="shared" si="23"/>
        <v>0.024</v>
      </c>
      <c r="AG65" s="40">
        <f t="shared" si="23"/>
        <v>0.025</v>
      </c>
      <c r="AH65" s="40">
        <f t="shared" si="23"/>
        <v>0.015</v>
      </c>
      <c r="AI65" s="40">
        <f t="shared" si="23"/>
        <v>0</v>
      </c>
      <c r="AJ65" s="40">
        <f t="shared" si="23"/>
        <v>0.02</v>
      </c>
      <c r="AK65" s="40">
        <f t="shared" si="23"/>
        <v>0.02</v>
      </c>
      <c r="AL65" s="40">
        <f t="shared" si="23"/>
        <v>0.018000000000000002</v>
      </c>
      <c r="AM65" s="40">
        <f t="shared" si="23"/>
        <v>0.01</v>
      </c>
      <c r="AN65" s="40">
        <f t="shared" si="23"/>
        <v>0</v>
      </c>
      <c r="AO65" s="40">
        <f t="shared" si="23"/>
        <v>0.011</v>
      </c>
      <c r="AP65" s="40">
        <f t="shared" si="23"/>
        <v>0.005</v>
      </c>
      <c r="AQ65" s="40">
        <f t="shared" si="23"/>
        <v>0.02</v>
      </c>
      <c r="AR65" s="40">
        <f t="shared" si="23"/>
        <v>0</v>
      </c>
      <c r="AS65" s="40">
        <f t="shared" si="23"/>
        <v>0.015</v>
      </c>
      <c r="AT65" s="40">
        <f t="shared" si="23"/>
        <v>0.036000000000000004</v>
      </c>
      <c r="AU65" s="40">
        <f t="shared" si="23"/>
        <v>0.009000000000000001</v>
      </c>
      <c r="AV65" s="40">
        <f t="shared" si="23"/>
        <v>0.016</v>
      </c>
      <c r="AW65" s="40">
        <f t="shared" si="23"/>
        <v>0.034999999999999996</v>
      </c>
      <c r="AX65" s="40">
        <f t="shared" si="23"/>
        <v>0</v>
      </c>
      <c r="AY65" s="40">
        <f t="shared" si="23"/>
        <v>0</v>
      </c>
      <c r="AZ65" s="40">
        <f t="shared" si="23"/>
        <v>0.018000000000000002</v>
      </c>
      <c r="BA65" s="40">
        <f t="shared" si="23"/>
        <v>0.009</v>
      </c>
      <c r="BB65" s="40">
        <f t="shared" si="23"/>
        <v>0.03</v>
      </c>
      <c r="BC65" s="40">
        <f t="shared" si="23"/>
        <v>0.01</v>
      </c>
      <c r="BD65" s="40">
        <f t="shared" si="23"/>
        <v>0.018000000000000002</v>
      </c>
      <c r="BE65" s="40">
        <f t="shared" si="23"/>
        <v>0.005</v>
      </c>
      <c r="BF65" s="40">
        <f t="shared" si="23"/>
        <v>0.033</v>
      </c>
      <c r="BG65" s="40">
        <f t="shared" si="23"/>
        <v>0</v>
      </c>
      <c r="BH65" s="40">
        <f t="shared" si="23"/>
        <v>0.035</v>
      </c>
      <c r="BI65" s="40">
        <f t="shared" si="23"/>
        <v>0.02</v>
      </c>
      <c r="BJ65" s="40">
        <f t="shared" si="23"/>
        <v>0</v>
      </c>
      <c r="BK65" s="40">
        <f t="shared" si="23"/>
        <v>0</v>
      </c>
      <c r="BL65" s="40">
        <f t="shared" si="23"/>
        <v>0</v>
      </c>
      <c r="BM65" s="40">
        <f t="shared" si="23"/>
        <v>0.022000000000000002</v>
      </c>
      <c r="BN65" s="40">
        <f t="shared" si="23"/>
        <v>0</v>
      </c>
      <c r="BO65" s="40">
        <f t="shared" si="23"/>
        <v>0.06</v>
      </c>
      <c r="BP65" s="40">
        <f t="shared" si="23"/>
        <v>0.065</v>
      </c>
      <c r="BQ65" s="40">
        <f t="shared" si="23"/>
        <v>0.077</v>
      </c>
      <c r="BR65" s="40">
        <f t="shared" si="23"/>
        <v>0.027000000000000003</v>
      </c>
      <c r="BS65" s="40">
        <f aca="true" t="shared" si="24" ref="BS65:ED65">BS67+BS69+BS71+BS73</f>
        <v>0.01</v>
      </c>
      <c r="BT65" s="40">
        <f t="shared" si="24"/>
        <v>0.06</v>
      </c>
      <c r="BU65" s="40">
        <f t="shared" si="24"/>
        <v>0.03</v>
      </c>
      <c r="BV65" s="40">
        <f t="shared" si="24"/>
        <v>0</v>
      </c>
      <c r="BW65" s="40">
        <f t="shared" si="24"/>
        <v>0.016</v>
      </c>
      <c r="BX65" s="40">
        <f t="shared" si="24"/>
        <v>0.021</v>
      </c>
      <c r="BY65" s="40">
        <f t="shared" si="24"/>
        <v>0</v>
      </c>
      <c r="BZ65" s="40">
        <f t="shared" si="24"/>
        <v>0.03</v>
      </c>
      <c r="CA65" s="40">
        <f t="shared" si="24"/>
        <v>0.06</v>
      </c>
      <c r="CB65" s="40">
        <f t="shared" si="24"/>
        <v>0.045</v>
      </c>
      <c r="CC65" s="40">
        <f t="shared" si="24"/>
        <v>0.028</v>
      </c>
      <c r="CD65" s="40">
        <f t="shared" si="24"/>
        <v>0.02</v>
      </c>
      <c r="CE65" s="40">
        <f t="shared" si="24"/>
        <v>0</v>
      </c>
      <c r="CF65" s="40">
        <f t="shared" si="24"/>
        <v>0.04</v>
      </c>
      <c r="CG65" s="40">
        <f t="shared" si="24"/>
        <v>0.02</v>
      </c>
      <c r="CH65" s="40">
        <f t="shared" si="24"/>
        <v>0</v>
      </c>
      <c r="CI65" s="40">
        <f t="shared" si="24"/>
        <v>0.065</v>
      </c>
      <c r="CJ65" s="40">
        <f t="shared" si="24"/>
        <v>0</v>
      </c>
      <c r="CK65" s="40">
        <f t="shared" si="24"/>
        <v>0.03</v>
      </c>
      <c r="CL65" s="40">
        <f t="shared" si="24"/>
        <v>0</v>
      </c>
      <c r="CM65" s="40">
        <f t="shared" si="24"/>
        <v>0</v>
      </c>
      <c r="CN65" s="40">
        <f t="shared" si="24"/>
        <v>0.003</v>
      </c>
      <c r="CO65" s="40">
        <f t="shared" si="24"/>
        <v>0.001</v>
      </c>
      <c r="CP65" s="40">
        <f t="shared" si="24"/>
        <v>0</v>
      </c>
      <c r="CQ65" s="40">
        <f t="shared" si="24"/>
        <v>0</v>
      </c>
      <c r="CR65" s="40">
        <f t="shared" si="24"/>
        <v>0</v>
      </c>
      <c r="CS65" s="40">
        <f t="shared" si="24"/>
        <v>0.01</v>
      </c>
      <c r="CT65" s="40">
        <f t="shared" si="24"/>
        <v>0</v>
      </c>
      <c r="CU65" s="40">
        <f t="shared" si="24"/>
        <v>0.026999999999999996</v>
      </c>
      <c r="CV65" s="40">
        <f t="shared" si="24"/>
        <v>0.008</v>
      </c>
      <c r="CW65" s="40">
        <f t="shared" si="24"/>
        <v>0</v>
      </c>
      <c r="CX65" s="40">
        <f t="shared" si="24"/>
        <v>0</v>
      </c>
      <c r="CY65" s="40">
        <f t="shared" si="24"/>
        <v>0.03</v>
      </c>
      <c r="CZ65" s="40">
        <f t="shared" si="24"/>
        <v>0.016</v>
      </c>
      <c r="DA65" s="40">
        <f t="shared" si="24"/>
        <v>0.06</v>
      </c>
      <c r="DB65" s="40">
        <f t="shared" si="24"/>
        <v>0</v>
      </c>
      <c r="DC65" s="40">
        <f t="shared" si="24"/>
        <v>0</v>
      </c>
      <c r="DD65" s="40">
        <f t="shared" si="24"/>
        <v>0</v>
      </c>
      <c r="DE65" s="40">
        <f t="shared" si="24"/>
        <v>0.06</v>
      </c>
      <c r="DF65" s="40">
        <f t="shared" si="24"/>
        <v>0.03</v>
      </c>
      <c r="DG65" s="31">
        <f t="shared" si="24"/>
        <v>0.209</v>
      </c>
      <c r="DH65" s="40">
        <f t="shared" si="24"/>
        <v>0.07500000000000001</v>
      </c>
      <c r="DI65" s="40">
        <f t="shared" si="24"/>
        <v>0.07500000000000001</v>
      </c>
      <c r="DJ65" s="40">
        <f t="shared" si="24"/>
        <v>0.07999999999999999</v>
      </c>
      <c r="DK65" s="40">
        <f t="shared" si="24"/>
        <v>0</v>
      </c>
      <c r="DL65" s="40">
        <f t="shared" si="24"/>
        <v>0.035</v>
      </c>
      <c r="DM65" s="40"/>
      <c r="DN65" s="40">
        <f t="shared" si="24"/>
        <v>0.025</v>
      </c>
      <c r="DO65" s="40">
        <f t="shared" si="24"/>
        <v>0.06</v>
      </c>
      <c r="DP65" s="40">
        <f t="shared" si="24"/>
        <v>0.045</v>
      </c>
      <c r="DQ65" s="40">
        <f t="shared" si="24"/>
        <v>0</v>
      </c>
      <c r="DR65" s="40">
        <f t="shared" si="24"/>
        <v>0.045</v>
      </c>
      <c r="DS65" s="40">
        <f t="shared" si="24"/>
        <v>0.155</v>
      </c>
      <c r="DT65" s="40"/>
      <c r="DU65" s="40">
        <f t="shared" si="24"/>
        <v>0.07</v>
      </c>
      <c r="DV65" s="40">
        <f t="shared" si="24"/>
        <v>0.006</v>
      </c>
      <c r="DW65" s="40">
        <f t="shared" si="24"/>
        <v>0</v>
      </c>
      <c r="DX65" s="40">
        <f t="shared" si="24"/>
        <v>0.025</v>
      </c>
      <c r="DY65" s="40">
        <f t="shared" si="24"/>
        <v>0.04</v>
      </c>
      <c r="DZ65" s="40">
        <f t="shared" si="24"/>
        <v>0.024</v>
      </c>
      <c r="EA65" s="40">
        <f t="shared" si="24"/>
        <v>0.024</v>
      </c>
      <c r="EB65" s="40">
        <f t="shared" si="24"/>
        <v>0.036000000000000004</v>
      </c>
      <c r="EC65" s="40">
        <f t="shared" si="24"/>
        <v>0.02</v>
      </c>
      <c r="ED65" s="40">
        <f t="shared" si="24"/>
        <v>0.01</v>
      </c>
      <c r="EE65" s="40" t="e">
        <f>EE67+EE69+EE71+EE73</f>
        <v>#VALUE!</v>
      </c>
      <c r="EF65" s="40">
        <f aca="true" t="shared" si="25" ref="EF65:GP65">EF67+EF69+EF71+EF73</f>
        <v>0.025</v>
      </c>
      <c r="EG65" s="40">
        <f t="shared" si="25"/>
        <v>0.02</v>
      </c>
      <c r="EH65" s="40">
        <f t="shared" si="25"/>
        <v>0.01</v>
      </c>
      <c r="EI65" s="40">
        <f t="shared" si="25"/>
        <v>0.006</v>
      </c>
      <c r="EJ65" s="40">
        <f t="shared" si="25"/>
        <v>0</v>
      </c>
      <c r="EK65" s="40">
        <f t="shared" si="25"/>
        <v>0.009000000000000001</v>
      </c>
      <c r="EL65" s="40">
        <f t="shared" si="25"/>
        <v>0.026000000000000002</v>
      </c>
      <c r="EM65" s="40">
        <f t="shared" si="25"/>
        <v>0.011</v>
      </c>
      <c r="EN65" s="40">
        <f t="shared" si="25"/>
        <v>0.01</v>
      </c>
      <c r="EO65" s="40">
        <f t="shared" si="25"/>
        <v>0.02</v>
      </c>
      <c r="EP65" s="40">
        <f t="shared" si="25"/>
        <v>0.03</v>
      </c>
      <c r="EQ65" s="40">
        <f t="shared" si="25"/>
        <v>0.015</v>
      </c>
      <c r="ER65" s="40">
        <f t="shared" si="25"/>
        <v>0</v>
      </c>
      <c r="ES65" s="40">
        <f t="shared" si="25"/>
        <v>0.005</v>
      </c>
      <c r="ET65" s="40">
        <f t="shared" si="25"/>
        <v>0.03</v>
      </c>
      <c r="EU65" s="40">
        <f t="shared" si="25"/>
        <v>0</v>
      </c>
      <c r="EV65" s="40">
        <f t="shared" si="25"/>
        <v>0</v>
      </c>
      <c r="EW65" s="40">
        <f t="shared" si="25"/>
        <v>0.06</v>
      </c>
      <c r="EX65" s="40">
        <f t="shared" si="25"/>
        <v>0</v>
      </c>
      <c r="EY65" s="40">
        <f t="shared" si="25"/>
        <v>0</v>
      </c>
      <c r="EZ65" s="40">
        <f t="shared" si="25"/>
        <v>0</v>
      </c>
      <c r="FA65" s="40">
        <f t="shared" si="25"/>
        <v>0</v>
      </c>
      <c r="FB65" s="40">
        <f t="shared" si="25"/>
        <v>0.02</v>
      </c>
      <c r="FC65" s="40">
        <f t="shared" si="25"/>
        <v>0.035</v>
      </c>
      <c r="FD65" s="40">
        <f t="shared" si="25"/>
        <v>0.02</v>
      </c>
      <c r="FE65" s="40">
        <f t="shared" si="25"/>
        <v>0.06</v>
      </c>
      <c r="FF65" s="40">
        <f t="shared" si="25"/>
        <v>0.09999999999999999</v>
      </c>
      <c r="FG65" s="40">
        <f t="shared" si="25"/>
        <v>0.01</v>
      </c>
      <c r="FH65" s="40">
        <f t="shared" si="25"/>
        <v>0</v>
      </c>
      <c r="FI65" s="40">
        <f t="shared" si="25"/>
        <v>0.045</v>
      </c>
      <c r="FJ65" s="40">
        <f t="shared" si="25"/>
        <v>0</v>
      </c>
      <c r="FK65" s="40">
        <f t="shared" si="25"/>
        <v>0.020999999999999998</v>
      </c>
      <c r="FL65" s="40">
        <f t="shared" si="25"/>
        <v>0.03</v>
      </c>
      <c r="FM65" s="40">
        <f t="shared" si="25"/>
        <v>0.01</v>
      </c>
      <c r="FN65" s="40"/>
      <c r="FO65" s="40">
        <f t="shared" si="25"/>
        <v>0</v>
      </c>
      <c r="FP65" s="40">
        <f t="shared" si="25"/>
        <v>0.02</v>
      </c>
      <c r="FQ65" s="40">
        <f t="shared" si="25"/>
        <v>0.026000000000000002</v>
      </c>
      <c r="FR65" s="40">
        <f t="shared" si="25"/>
        <v>0</v>
      </c>
      <c r="FS65" s="40">
        <f t="shared" si="25"/>
        <v>0.015</v>
      </c>
      <c r="FT65" s="40">
        <f t="shared" si="25"/>
        <v>0.026000000000000002</v>
      </c>
      <c r="FU65" s="40">
        <f t="shared" si="25"/>
        <v>0.02</v>
      </c>
      <c r="FV65" s="40">
        <f t="shared" si="25"/>
        <v>0.025</v>
      </c>
      <c r="FW65" s="40">
        <f t="shared" si="25"/>
        <v>0.023000000000000003</v>
      </c>
      <c r="FX65" s="40">
        <f t="shared" si="25"/>
        <v>0</v>
      </c>
      <c r="FY65" s="40">
        <f t="shared" si="25"/>
        <v>0</v>
      </c>
      <c r="FZ65" s="40">
        <f t="shared" si="25"/>
        <v>0.001</v>
      </c>
      <c r="GA65" s="40">
        <f t="shared" si="25"/>
        <v>0</v>
      </c>
      <c r="GB65" s="40">
        <f t="shared" si="25"/>
        <v>0.027</v>
      </c>
      <c r="GC65" s="40">
        <f t="shared" si="25"/>
        <v>0</v>
      </c>
      <c r="GD65" s="40">
        <f t="shared" si="25"/>
        <v>0.01</v>
      </c>
      <c r="GE65" s="40">
        <f t="shared" si="25"/>
        <v>0.012</v>
      </c>
      <c r="GF65" s="40">
        <f t="shared" si="25"/>
        <v>0.013</v>
      </c>
      <c r="GG65" s="40">
        <f t="shared" si="25"/>
        <v>0.036</v>
      </c>
      <c r="GH65" s="40">
        <f t="shared" si="25"/>
        <v>0.020999999999999998</v>
      </c>
      <c r="GI65" s="40">
        <f t="shared" si="25"/>
        <v>0</v>
      </c>
      <c r="GJ65" s="40">
        <f t="shared" si="25"/>
        <v>0</v>
      </c>
      <c r="GK65" s="40">
        <f t="shared" si="25"/>
        <v>0.02</v>
      </c>
      <c r="GL65" s="40">
        <f t="shared" si="25"/>
        <v>0</v>
      </c>
      <c r="GM65" s="40">
        <f t="shared" si="25"/>
        <v>0.0162</v>
      </c>
      <c r="GN65" s="40">
        <f t="shared" si="25"/>
        <v>0</v>
      </c>
      <c r="GO65" s="40">
        <f t="shared" si="25"/>
        <v>0.038</v>
      </c>
      <c r="GP65" s="40">
        <f t="shared" si="25"/>
        <v>0.015</v>
      </c>
      <c r="GQ65" s="40">
        <f aca="true" t="shared" si="26" ref="GQ65:HX65">GQ67+GQ69+GQ71+GQ73</f>
        <v>0</v>
      </c>
      <c r="GR65" s="40">
        <f t="shared" si="26"/>
        <v>0.034</v>
      </c>
      <c r="GS65" s="40">
        <f t="shared" si="26"/>
        <v>0.034</v>
      </c>
      <c r="GT65" s="40">
        <f t="shared" si="26"/>
        <v>0</v>
      </c>
      <c r="GU65" s="40">
        <f t="shared" si="26"/>
        <v>0.03</v>
      </c>
      <c r="GV65" s="40">
        <f t="shared" si="26"/>
        <v>0.012</v>
      </c>
      <c r="GW65" s="40">
        <f t="shared" si="26"/>
        <v>0</v>
      </c>
      <c r="GX65" s="40">
        <f t="shared" si="26"/>
        <v>0</v>
      </c>
      <c r="GY65" s="40">
        <f t="shared" si="26"/>
        <v>0.009000000000000001</v>
      </c>
      <c r="GZ65" s="40">
        <f t="shared" si="26"/>
        <v>0.025</v>
      </c>
      <c r="HA65" s="40">
        <f t="shared" si="26"/>
        <v>0.027000000000000003</v>
      </c>
      <c r="HB65" s="40">
        <f t="shared" si="26"/>
        <v>0</v>
      </c>
      <c r="HC65" s="40">
        <f t="shared" si="26"/>
        <v>0.015</v>
      </c>
      <c r="HD65" s="40">
        <f t="shared" si="26"/>
        <v>0.02</v>
      </c>
      <c r="HE65" s="40">
        <f t="shared" si="26"/>
        <v>0.014</v>
      </c>
      <c r="HF65" s="40">
        <f t="shared" si="26"/>
        <v>0</v>
      </c>
      <c r="HG65" s="40">
        <f t="shared" si="26"/>
        <v>0.04</v>
      </c>
      <c r="HH65" s="40">
        <f t="shared" si="26"/>
        <v>0.017</v>
      </c>
      <c r="HI65" s="40">
        <f t="shared" si="26"/>
        <v>0</v>
      </c>
      <c r="HJ65" s="40">
        <f t="shared" si="26"/>
        <v>0</v>
      </c>
      <c r="HK65" s="40">
        <f t="shared" si="26"/>
        <v>0.03</v>
      </c>
      <c r="HL65" s="40">
        <f t="shared" si="26"/>
        <v>0.056</v>
      </c>
      <c r="HM65" s="40">
        <f t="shared" si="26"/>
        <v>0.016</v>
      </c>
      <c r="HN65" s="40">
        <f t="shared" si="26"/>
        <v>0.023000000000000003</v>
      </c>
      <c r="HO65" s="40">
        <f t="shared" si="26"/>
        <v>0.021</v>
      </c>
      <c r="HP65" s="40">
        <f t="shared" si="26"/>
        <v>0.02</v>
      </c>
      <c r="HQ65" s="40">
        <f t="shared" si="26"/>
        <v>0.035</v>
      </c>
      <c r="HR65" s="40">
        <f t="shared" si="26"/>
        <v>0.04</v>
      </c>
      <c r="HS65" s="40">
        <f t="shared" si="26"/>
        <v>0.03</v>
      </c>
      <c r="HT65" s="40">
        <f t="shared" si="26"/>
        <v>0</v>
      </c>
      <c r="HU65" s="40">
        <f t="shared" si="26"/>
        <v>0.015</v>
      </c>
      <c r="HV65" s="40">
        <f t="shared" si="26"/>
        <v>0.01</v>
      </c>
      <c r="HW65" s="40">
        <f t="shared" si="26"/>
        <v>0</v>
      </c>
      <c r="HX65" s="40">
        <f t="shared" si="26"/>
        <v>0</v>
      </c>
    </row>
    <row r="66" spans="1:232" ht="12.75" customHeight="1">
      <c r="A66" s="2"/>
      <c r="B66" s="5"/>
      <c r="C66" s="4" t="s">
        <v>0</v>
      </c>
      <c r="D66" s="39">
        <f aca="true" t="shared" si="27" ref="D66:D77">E66+F66</f>
        <v>3576.709</v>
      </c>
      <c r="E66" s="39">
        <f>E68+E70+E72+E74</f>
        <v>3576.709</v>
      </c>
      <c r="F66" s="40">
        <f aca="true" t="shared" si="28" ref="F66:BR66">F68+F70+F72+F74</f>
        <v>0</v>
      </c>
      <c r="G66" s="40">
        <f t="shared" si="28"/>
        <v>15.252</v>
      </c>
      <c r="H66" s="40">
        <f t="shared" si="28"/>
        <v>29.113</v>
      </c>
      <c r="I66" s="40">
        <f t="shared" si="28"/>
        <v>15.193</v>
      </c>
      <c r="J66" s="40">
        <f t="shared" si="28"/>
        <v>15.193</v>
      </c>
      <c r="K66" s="40">
        <f t="shared" si="28"/>
        <v>15.193</v>
      </c>
      <c r="L66" s="40">
        <f t="shared" si="28"/>
        <v>7.626</v>
      </c>
      <c r="M66" s="40">
        <f t="shared" si="28"/>
        <v>7.626</v>
      </c>
      <c r="N66" s="40">
        <f t="shared" si="28"/>
        <v>22.756</v>
      </c>
      <c r="O66" s="40">
        <f t="shared" si="28"/>
        <v>22.756</v>
      </c>
      <c r="P66" s="40">
        <f t="shared" si="28"/>
        <v>11.379</v>
      </c>
      <c r="Q66" s="40">
        <f t="shared" si="28"/>
        <v>22.756</v>
      </c>
      <c r="R66" s="40">
        <f t="shared" si="28"/>
        <v>11.852</v>
      </c>
      <c r="S66" s="40">
        <f t="shared" si="28"/>
        <v>11.379</v>
      </c>
      <c r="T66" s="40">
        <f t="shared" si="28"/>
        <v>34.126000000000005</v>
      </c>
      <c r="U66" s="40">
        <f t="shared" si="28"/>
        <v>11.379</v>
      </c>
      <c r="V66" s="40">
        <f t="shared" si="28"/>
        <v>22.756</v>
      </c>
      <c r="W66" s="40">
        <f t="shared" si="28"/>
        <v>0</v>
      </c>
      <c r="X66" s="40">
        <f t="shared" si="28"/>
        <v>17.304000000000002</v>
      </c>
      <c r="Y66" s="40"/>
      <c r="Z66" s="40">
        <f t="shared" si="28"/>
        <v>15.193</v>
      </c>
      <c r="AA66" s="40">
        <f t="shared" si="28"/>
        <v>30.382</v>
      </c>
      <c r="AB66" s="40">
        <f t="shared" si="28"/>
        <v>12.533</v>
      </c>
      <c r="AC66" s="40">
        <f t="shared" si="28"/>
        <v>0</v>
      </c>
      <c r="AD66" s="40">
        <f t="shared" si="28"/>
        <v>30.382</v>
      </c>
      <c r="AE66" s="40">
        <f t="shared" si="28"/>
        <v>24.93</v>
      </c>
      <c r="AF66" s="40">
        <f t="shared" si="28"/>
        <v>18.897</v>
      </c>
      <c r="AG66" s="40">
        <f t="shared" si="28"/>
        <v>19.005000000000003</v>
      </c>
      <c r="AH66" s="40">
        <f t="shared" si="28"/>
        <v>16.356</v>
      </c>
      <c r="AI66" s="40">
        <f t="shared" si="28"/>
        <v>0</v>
      </c>
      <c r="AJ66" s="40">
        <f t="shared" si="28"/>
        <v>15.193</v>
      </c>
      <c r="AK66" s="40">
        <f t="shared" si="28"/>
        <v>15.193</v>
      </c>
      <c r="AL66" s="40">
        <f t="shared" si="28"/>
        <v>10.328</v>
      </c>
      <c r="AM66" s="40">
        <f t="shared" si="28"/>
        <v>7.626</v>
      </c>
      <c r="AN66" s="40">
        <f t="shared" si="28"/>
        <v>0</v>
      </c>
      <c r="AO66" s="40">
        <f t="shared" si="28"/>
        <v>7.1579999999999995</v>
      </c>
      <c r="AP66" s="40">
        <f t="shared" si="28"/>
        <v>2.792</v>
      </c>
      <c r="AQ66" s="40">
        <f t="shared" si="28"/>
        <v>15.193</v>
      </c>
      <c r="AR66" s="40">
        <f t="shared" si="28"/>
        <v>0</v>
      </c>
      <c r="AS66" s="40">
        <f t="shared" si="28"/>
        <v>11.379</v>
      </c>
      <c r="AT66" s="40">
        <f t="shared" si="28"/>
        <v>22.014</v>
      </c>
      <c r="AU66" s="40">
        <f t="shared" si="28"/>
        <v>6.498</v>
      </c>
      <c r="AV66" s="40">
        <f t="shared" si="28"/>
        <v>13.147</v>
      </c>
      <c r="AW66" s="40">
        <f t="shared" si="28"/>
        <v>24.932000000000002</v>
      </c>
      <c r="AX66" s="40">
        <f t="shared" si="28"/>
        <v>0</v>
      </c>
      <c r="AY66" s="40">
        <f t="shared" si="28"/>
        <v>0</v>
      </c>
      <c r="AZ66" s="40">
        <f t="shared" si="28"/>
        <v>12.985</v>
      </c>
      <c r="BA66" s="40">
        <f t="shared" si="28"/>
        <v>6.864</v>
      </c>
      <c r="BB66" s="40">
        <f t="shared" si="28"/>
        <v>22.756</v>
      </c>
      <c r="BC66" s="40">
        <f t="shared" si="28"/>
        <v>9.266</v>
      </c>
      <c r="BD66" s="40">
        <f t="shared" si="28"/>
        <v>14.006</v>
      </c>
      <c r="BE66" s="40">
        <f t="shared" si="28"/>
        <v>2.113</v>
      </c>
      <c r="BF66" s="40">
        <f t="shared" si="28"/>
        <v>22.752</v>
      </c>
      <c r="BG66" s="40">
        <f t="shared" si="28"/>
        <v>0</v>
      </c>
      <c r="BH66" s="40">
        <f t="shared" si="28"/>
        <v>28.269000000000002</v>
      </c>
      <c r="BI66" s="40">
        <f t="shared" si="28"/>
        <v>14.171</v>
      </c>
      <c r="BJ66" s="40">
        <f t="shared" si="28"/>
        <v>0</v>
      </c>
      <c r="BK66" s="40">
        <f t="shared" si="28"/>
        <v>0</v>
      </c>
      <c r="BL66" s="40">
        <f t="shared" si="28"/>
        <v>0</v>
      </c>
      <c r="BM66" s="40">
        <f t="shared" si="28"/>
        <v>18.418</v>
      </c>
      <c r="BN66" s="40">
        <f t="shared" si="28"/>
        <v>0</v>
      </c>
      <c r="BO66" s="40">
        <f t="shared" si="28"/>
        <v>45.575</v>
      </c>
      <c r="BP66" s="40">
        <f t="shared" si="28"/>
        <v>51.028999999999996</v>
      </c>
      <c r="BQ66" s="40">
        <f t="shared" si="28"/>
        <v>57.498000000000005</v>
      </c>
      <c r="BR66" s="40">
        <f t="shared" si="28"/>
        <v>20.174</v>
      </c>
      <c r="BS66" s="40">
        <f aca="true" t="shared" si="29" ref="BS66:ED66">BS68+BS70+BS72+BS74</f>
        <v>5.927</v>
      </c>
      <c r="BT66" s="40">
        <f t="shared" si="29"/>
        <v>45.516</v>
      </c>
      <c r="BU66" s="40">
        <f t="shared" si="29"/>
        <v>22.756</v>
      </c>
      <c r="BV66" s="40">
        <f t="shared" si="29"/>
        <v>0</v>
      </c>
      <c r="BW66" s="40">
        <f t="shared" si="29"/>
        <v>12.105</v>
      </c>
      <c r="BX66" s="40">
        <f t="shared" si="29"/>
        <v>14.935</v>
      </c>
      <c r="BY66" s="40">
        <f t="shared" si="29"/>
        <v>0</v>
      </c>
      <c r="BZ66" s="40">
        <f t="shared" si="29"/>
        <v>22.756</v>
      </c>
      <c r="CA66" s="40">
        <f t="shared" si="29"/>
        <v>45.516</v>
      </c>
      <c r="CB66" s="40">
        <f t="shared" si="29"/>
        <v>34.135000000000005</v>
      </c>
      <c r="CC66" s="40">
        <f t="shared" si="29"/>
        <v>21.265</v>
      </c>
      <c r="CD66" s="40">
        <f t="shared" si="29"/>
        <v>15.193</v>
      </c>
      <c r="CE66" s="40">
        <f t="shared" si="29"/>
        <v>0</v>
      </c>
      <c r="CF66" s="40">
        <f t="shared" si="29"/>
        <v>30.382</v>
      </c>
      <c r="CG66" s="40">
        <f t="shared" si="29"/>
        <v>15.193</v>
      </c>
      <c r="CH66" s="40">
        <f t="shared" si="29"/>
        <v>0</v>
      </c>
      <c r="CI66" s="40">
        <f t="shared" si="29"/>
        <v>49.389</v>
      </c>
      <c r="CJ66" s="40">
        <f t="shared" si="29"/>
        <v>0</v>
      </c>
      <c r="CK66" s="40">
        <f t="shared" si="29"/>
        <v>22.756</v>
      </c>
      <c r="CL66" s="40">
        <f t="shared" si="29"/>
        <v>0</v>
      </c>
      <c r="CM66" s="40">
        <f t="shared" si="29"/>
        <v>0</v>
      </c>
      <c r="CN66" s="40">
        <f t="shared" si="29"/>
        <v>2.277</v>
      </c>
      <c r="CO66" s="40">
        <f t="shared" si="29"/>
        <v>0.763</v>
      </c>
      <c r="CP66" s="40">
        <f t="shared" si="29"/>
        <v>0</v>
      </c>
      <c r="CQ66" s="40">
        <f t="shared" si="29"/>
        <v>0</v>
      </c>
      <c r="CR66" s="40">
        <f t="shared" si="29"/>
        <v>0</v>
      </c>
      <c r="CS66" s="40">
        <f t="shared" si="29"/>
        <v>6.921</v>
      </c>
      <c r="CT66" s="40">
        <f t="shared" si="29"/>
        <v>0</v>
      </c>
      <c r="CU66" s="40">
        <f t="shared" si="29"/>
        <v>21.879</v>
      </c>
      <c r="CV66" s="40">
        <f t="shared" si="29"/>
        <v>5.736</v>
      </c>
      <c r="CW66" s="40">
        <f t="shared" si="29"/>
        <v>0</v>
      </c>
      <c r="CX66" s="40">
        <f t="shared" si="29"/>
        <v>0</v>
      </c>
      <c r="CY66" s="40">
        <f t="shared" si="29"/>
        <v>22.756</v>
      </c>
      <c r="CZ66" s="40">
        <f t="shared" si="29"/>
        <v>9.483</v>
      </c>
      <c r="DA66" s="40">
        <f t="shared" si="29"/>
        <v>45.516</v>
      </c>
      <c r="DB66" s="40">
        <f t="shared" si="29"/>
        <v>0</v>
      </c>
      <c r="DC66" s="40">
        <f t="shared" si="29"/>
        <v>0</v>
      </c>
      <c r="DD66" s="40">
        <f t="shared" si="29"/>
        <v>0</v>
      </c>
      <c r="DE66" s="40">
        <f t="shared" si="29"/>
        <v>45.516</v>
      </c>
      <c r="DF66" s="40">
        <f t="shared" si="29"/>
        <v>22.756</v>
      </c>
      <c r="DG66" s="40">
        <f t="shared" si="29"/>
        <v>194.51800000000003</v>
      </c>
      <c r="DH66" s="40">
        <f t="shared" si="29"/>
        <v>58.717</v>
      </c>
      <c r="DI66" s="40">
        <f t="shared" si="29"/>
        <v>58.717</v>
      </c>
      <c r="DJ66" s="40">
        <f t="shared" si="29"/>
        <v>60.893</v>
      </c>
      <c r="DK66" s="40">
        <f t="shared" si="29"/>
        <v>0</v>
      </c>
      <c r="DL66" s="40">
        <f t="shared" si="29"/>
        <v>24.869</v>
      </c>
      <c r="DM66" s="40"/>
      <c r="DN66" s="40">
        <f t="shared" si="29"/>
        <v>17.304000000000002</v>
      </c>
      <c r="DO66" s="40">
        <f t="shared" si="29"/>
        <v>45.516</v>
      </c>
      <c r="DP66" s="40">
        <f t="shared" si="29"/>
        <v>34.135000000000005</v>
      </c>
      <c r="DQ66" s="40">
        <f t="shared" si="29"/>
        <v>0</v>
      </c>
      <c r="DR66" s="40">
        <f t="shared" si="29"/>
        <v>34.135000000000005</v>
      </c>
      <c r="DS66" s="40">
        <f t="shared" si="29"/>
        <v>119.485</v>
      </c>
      <c r="DT66" s="40"/>
      <c r="DU66" s="40">
        <f t="shared" si="29"/>
        <v>61.454</v>
      </c>
      <c r="DV66" s="40">
        <f t="shared" si="29"/>
        <v>8.015</v>
      </c>
      <c r="DW66" s="40">
        <f t="shared" si="29"/>
        <v>0</v>
      </c>
      <c r="DX66" s="40">
        <f t="shared" si="29"/>
        <v>19.698</v>
      </c>
      <c r="DY66" s="40">
        <f t="shared" si="29"/>
        <v>36.24</v>
      </c>
      <c r="DZ66" s="40">
        <f t="shared" si="29"/>
        <v>20.597</v>
      </c>
      <c r="EA66" s="40">
        <f t="shared" si="29"/>
        <v>20.597</v>
      </c>
      <c r="EB66" s="40">
        <f t="shared" si="29"/>
        <v>29.321999999999996</v>
      </c>
      <c r="EC66" s="40">
        <f t="shared" si="29"/>
        <v>20.985</v>
      </c>
      <c r="ED66" s="40">
        <f t="shared" si="29"/>
        <v>7.612</v>
      </c>
      <c r="EE66" s="40">
        <f aca="true" t="shared" si="30" ref="EE66:GP66">EE68+EE70+EE72+EE74</f>
        <v>28.613</v>
      </c>
      <c r="EF66" s="40">
        <f t="shared" si="30"/>
        <v>18.531</v>
      </c>
      <c r="EG66" s="40">
        <f t="shared" si="30"/>
        <v>13.491999999999999</v>
      </c>
      <c r="EH66" s="40">
        <f t="shared" si="30"/>
        <v>5.927</v>
      </c>
      <c r="EI66" s="40">
        <f t="shared" si="30"/>
        <v>4.552</v>
      </c>
      <c r="EJ66" s="40">
        <f t="shared" si="30"/>
        <v>0</v>
      </c>
      <c r="EK66" s="40">
        <f t="shared" si="30"/>
        <v>5.832000000000001</v>
      </c>
      <c r="EL66" s="40">
        <f t="shared" si="30"/>
        <v>18.393</v>
      </c>
      <c r="EM66" s="40">
        <f t="shared" si="30"/>
        <v>8.338999999999999</v>
      </c>
      <c r="EN66" s="40">
        <f t="shared" si="30"/>
        <v>7.576</v>
      </c>
      <c r="EO66" s="40">
        <f t="shared" si="30"/>
        <v>15.191</v>
      </c>
      <c r="EP66" s="40">
        <f t="shared" si="30"/>
        <v>22.756</v>
      </c>
      <c r="EQ66" s="40">
        <f t="shared" si="30"/>
        <v>11.44</v>
      </c>
      <c r="ER66" s="40">
        <f t="shared" si="30"/>
        <v>0</v>
      </c>
      <c r="ES66" s="40">
        <f t="shared" si="30"/>
        <v>6.679</v>
      </c>
      <c r="ET66" s="40">
        <f t="shared" si="30"/>
        <v>22.756</v>
      </c>
      <c r="EU66" s="40">
        <f t="shared" si="30"/>
        <v>0</v>
      </c>
      <c r="EV66" s="40">
        <f t="shared" si="30"/>
        <v>0</v>
      </c>
      <c r="EW66" s="40">
        <f t="shared" si="30"/>
        <v>45.516</v>
      </c>
      <c r="EX66" s="40">
        <f t="shared" si="30"/>
        <v>0</v>
      </c>
      <c r="EY66" s="40">
        <f t="shared" si="30"/>
        <v>0</v>
      </c>
      <c r="EZ66" s="40">
        <f t="shared" si="30"/>
        <v>0</v>
      </c>
      <c r="FA66" s="40">
        <f t="shared" si="30"/>
        <v>0</v>
      </c>
      <c r="FB66" s="40">
        <f t="shared" si="30"/>
        <v>11.852</v>
      </c>
      <c r="FC66" s="40">
        <f t="shared" si="30"/>
        <v>23.755000000000003</v>
      </c>
      <c r="FD66" s="40">
        <f t="shared" si="30"/>
        <v>13.491999999999999</v>
      </c>
      <c r="FE66" s="40">
        <f t="shared" si="30"/>
        <v>45.516</v>
      </c>
      <c r="FF66" s="40">
        <f t="shared" si="30"/>
        <v>79.332</v>
      </c>
      <c r="FG66" s="40">
        <f t="shared" si="30"/>
        <v>4.666</v>
      </c>
      <c r="FH66" s="40">
        <f t="shared" si="30"/>
        <v>0</v>
      </c>
      <c r="FI66" s="40">
        <f t="shared" si="30"/>
        <v>34.135000000000005</v>
      </c>
      <c r="FJ66" s="40">
        <f t="shared" si="30"/>
        <v>0</v>
      </c>
      <c r="FK66" s="40">
        <f t="shared" si="30"/>
        <v>17.96</v>
      </c>
      <c r="FL66" s="40">
        <f t="shared" si="30"/>
        <v>22.756</v>
      </c>
      <c r="FM66" s="40">
        <f t="shared" si="30"/>
        <v>7.626</v>
      </c>
      <c r="FN66" s="40"/>
      <c r="FO66" s="40">
        <f t="shared" si="30"/>
        <v>0</v>
      </c>
      <c r="FP66" s="40">
        <f t="shared" si="30"/>
        <v>15.139</v>
      </c>
      <c r="FQ66" s="40">
        <f t="shared" si="30"/>
        <v>17.788</v>
      </c>
      <c r="FR66" s="40">
        <f t="shared" si="30"/>
        <v>0</v>
      </c>
      <c r="FS66" s="40">
        <f t="shared" si="30"/>
        <v>11.379</v>
      </c>
      <c r="FT66" s="40">
        <f t="shared" si="30"/>
        <v>19.769</v>
      </c>
      <c r="FU66" s="40">
        <f t="shared" si="30"/>
        <v>15.193</v>
      </c>
      <c r="FV66" s="40">
        <f t="shared" si="30"/>
        <v>17.304000000000002</v>
      </c>
      <c r="FW66" s="40">
        <f t="shared" si="30"/>
        <v>17.481</v>
      </c>
      <c r="FX66" s="40">
        <f t="shared" si="30"/>
        <v>0</v>
      </c>
      <c r="FY66" s="40">
        <f t="shared" si="30"/>
        <v>0</v>
      </c>
      <c r="FZ66" s="40">
        <f t="shared" si="30"/>
        <v>1.675</v>
      </c>
      <c r="GA66" s="40">
        <f t="shared" si="30"/>
        <v>0</v>
      </c>
      <c r="GB66" s="40">
        <f t="shared" si="30"/>
        <v>21.863</v>
      </c>
      <c r="GC66" s="40">
        <f t="shared" si="30"/>
        <v>0</v>
      </c>
      <c r="GD66" s="40">
        <f t="shared" si="30"/>
        <v>7.626</v>
      </c>
      <c r="GE66" s="40">
        <f t="shared" si="30"/>
        <v>9.129000000000001</v>
      </c>
      <c r="GF66" s="40">
        <f t="shared" si="30"/>
        <v>9.55</v>
      </c>
      <c r="GG66" s="40">
        <f t="shared" si="30"/>
        <v>26.019000000000002</v>
      </c>
      <c r="GH66" s="40">
        <f t="shared" si="30"/>
        <v>16.282</v>
      </c>
      <c r="GI66" s="40">
        <f t="shared" si="30"/>
        <v>0</v>
      </c>
      <c r="GJ66" s="40">
        <f t="shared" si="30"/>
        <v>0</v>
      </c>
      <c r="GK66" s="40">
        <f t="shared" si="30"/>
        <v>15.506</v>
      </c>
      <c r="GL66" s="40">
        <f t="shared" si="30"/>
        <v>0</v>
      </c>
      <c r="GM66" s="40">
        <f t="shared" si="30"/>
        <v>10.982</v>
      </c>
      <c r="GN66" s="40">
        <f t="shared" si="30"/>
        <v>0</v>
      </c>
      <c r="GO66" s="40">
        <f t="shared" si="30"/>
        <v>29.537</v>
      </c>
      <c r="GP66" s="40">
        <f t="shared" si="30"/>
        <v>11.379</v>
      </c>
      <c r="GQ66" s="40">
        <f aca="true" t="shared" si="31" ref="GQ66:HX66">GQ68+GQ70+GQ72+GQ74</f>
        <v>0</v>
      </c>
      <c r="GR66" s="40">
        <f t="shared" si="31"/>
        <v>30.516</v>
      </c>
      <c r="GS66" s="40">
        <f t="shared" si="31"/>
        <v>30.516</v>
      </c>
      <c r="GT66" s="40">
        <f t="shared" si="31"/>
        <v>0</v>
      </c>
      <c r="GU66" s="40">
        <f t="shared" si="31"/>
        <v>22.756</v>
      </c>
      <c r="GV66" s="40">
        <f t="shared" si="31"/>
        <v>9.100999999999999</v>
      </c>
      <c r="GW66" s="40">
        <f t="shared" si="31"/>
        <v>0</v>
      </c>
      <c r="GX66" s="40">
        <f t="shared" si="31"/>
        <v>0</v>
      </c>
      <c r="GY66" s="40">
        <f t="shared" si="31"/>
        <v>8.175</v>
      </c>
      <c r="GZ66" s="40">
        <f t="shared" si="31"/>
        <v>17.304000000000002</v>
      </c>
      <c r="HA66" s="40">
        <f t="shared" si="31"/>
        <v>21.197000000000003</v>
      </c>
      <c r="HB66" s="40">
        <f t="shared" si="31"/>
        <v>0</v>
      </c>
      <c r="HC66" s="40">
        <f t="shared" si="31"/>
        <v>13.734</v>
      </c>
      <c r="HD66" s="40">
        <f t="shared" si="31"/>
        <v>13.844000000000001</v>
      </c>
      <c r="HE66" s="40">
        <f t="shared" si="31"/>
        <v>11.281</v>
      </c>
      <c r="HF66" s="40">
        <f t="shared" si="31"/>
        <v>0</v>
      </c>
      <c r="HG66" s="40">
        <f t="shared" si="31"/>
        <v>30.409</v>
      </c>
      <c r="HH66" s="40">
        <f t="shared" si="31"/>
        <v>17.337</v>
      </c>
      <c r="HI66" s="40">
        <f t="shared" si="31"/>
        <v>0</v>
      </c>
      <c r="HJ66" s="40">
        <f t="shared" si="31"/>
        <v>0</v>
      </c>
      <c r="HK66" s="40">
        <f t="shared" si="31"/>
        <v>22.756</v>
      </c>
      <c r="HL66" s="40">
        <f t="shared" si="31"/>
        <v>41.152</v>
      </c>
      <c r="HM66" s="40">
        <f t="shared" si="31"/>
        <v>14.826</v>
      </c>
      <c r="HN66" s="40">
        <f t="shared" si="31"/>
        <v>16.461</v>
      </c>
      <c r="HO66" s="40">
        <f t="shared" si="31"/>
        <v>14.935</v>
      </c>
      <c r="HP66" s="40">
        <f t="shared" si="31"/>
        <v>15.193</v>
      </c>
      <c r="HQ66" s="40">
        <f t="shared" si="31"/>
        <v>28.208000000000002</v>
      </c>
      <c r="HR66" s="40">
        <f t="shared" si="31"/>
        <v>30.382</v>
      </c>
      <c r="HS66" s="40">
        <f t="shared" si="31"/>
        <v>22.756</v>
      </c>
      <c r="HT66" s="40">
        <f t="shared" si="31"/>
        <v>0</v>
      </c>
      <c r="HU66" s="40">
        <f t="shared" si="31"/>
        <v>13.078</v>
      </c>
      <c r="HV66" s="40">
        <f t="shared" si="31"/>
        <v>7.626</v>
      </c>
      <c r="HW66" s="40">
        <f t="shared" si="31"/>
        <v>0</v>
      </c>
      <c r="HX66" s="40">
        <f t="shared" si="31"/>
        <v>0</v>
      </c>
    </row>
    <row r="67" spans="1:232" ht="12.75" customHeight="1">
      <c r="A67" s="2" t="s">
        <v>322</v>
      </c>
      <c r="B67" s="5" t="s">
        <v>28</v>
      </c>
      <c r="C67" s="4" t="s">
        <v>8</v>
      </c>
      <c r="D67" s="13">
        <f>E67+F67</f>
        <v>0.5260000000000002</v>
      </c>
      <c r="E67" s="13">
        <f>SUM(G67:HX67)</f>
        <v>0.5260000000000002</v>
      </c>
      <c r="F67" s="6"/>
      <c r="G67" s="18">
        <v>0.01</v>
      </c>
      <c r="H67" s="18">
        <v>0.01</v>
      </c>
      <c r="I67" s="18">
        <v>0.005</v>
      </c>
      <c r="J67" s="18">
        <v>0.005</v>
      </c>
      <c r="K67" s="18">
        <v>0.005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0.005</v>
      </c>
      <c r="AA67" s="18">
        <v>0.01</v>
      </c>
      <c r="AB67" s="18">
        <v>0.006</v>
      </c>
      <c r="AC67" s="18"/>
      <c r="AD67" s="18">
        <v>0.01</v>
      </c>
      <c r="AE67" s="18">
        <v>0.01</v>
      </c>
      <c r="AF67" s="18">
        <v>0.005</v>
      </c>
      <c r="AG67" s="18">
        <v>0.01</v>
      </c>
      <c r="AH67" s="18"/>
      <c r="AI67" s="18"/>
      <c r="AJ67" s="18">
        <v>0.005</v>
      </c>
      <c r="AK67" s="18">
        <v>0.005</v>
      </c>
      <c r="AL67" s="18"/>
      <c r="AM67" s="18">
        <v>0.01</v>
      </c>
      <c r="AN67" s="18"/>
      <c r="AO67" s="18"/>
      <c r="AP67" s="18"/>
      <c r="AQ67" s="18">
        <v>0.005</v>
      </c>
      <c r="AR67" s="18"/>
      <c r="AS67" s="18"/>
      <c r="AT67" s="18"/>
      <c r="AU67" s="18"/>
      <c r="AV67" s="18">
        <v>0.002</v>
      </c>
      <c r="AW67" s="18">
        <v>0.005</v>
      </c>
      <c r="AX67" s="18"/>
      <c r="AY67" s="18"/>
      <c r="AZ67" s="18"/>
      <c r="BA67" s="18"/>
      <c r="BB67" s="18"/>
      <c r="BC67" s="18"/>
      <c r="BD67" s="18">
        <v>0.004</v>
      </c>
      <c r="BE67" s="18"/>
      <c r="BF67" s="18">
        <v>0.005</v>
      </c>
      <c r="BG67" s="18"/>
      <c r="BH67" s="18">
        <v>0.01</v>
      </c>
      <c r="BI67" s="18"/>
      <c r="BJ67" s="18"/>
      <c r="BK67" s="18"/>
      <c r="BL67" s="18"/>
      <c r="BM67" s="18">
        <v>0.012</v>
      </c>
      <c r="BN67" s="18"/>
      <c r="BO67" s="18">
        <v>0.015</v>
      </c>
      <c r="BP67" s="18">
        <v>0.015</v>
      </c>
      <c r="BQ67" s="18">
        <v>0.02</v>
      </c>
      <c r="BR67" s="18">
        <v>0.007</v>
      </c>
      <c r="BS67" s="18">
        <v>0.005</v>
      </c>
      <c r="BT67" s="18"/>
      <c r="BU67" s="18"/>
      <c r="BV67" s="18"/>
      <c r="BW67" s="18"/>
      <c r="BX67" s="18"/>
      <c r="BY67" s="18"/>
      <c r="BZ67" s="18"/>
      <c r="CA67" s="18"/>
      <c r="CB67" s="18"/>
      <c r="CC67" s="18">
        <v>0.007</v>
      </c>
      <c r="CD67" s="18">
        <v>0.005</v>
      </c>
      <c r="CE67" s="18"/>
      <c r="CF67" s="18">
        <v>0.01</v>
      </c>
      <c r="CG67" s="18">
        <v>0.005</v>
      </c>
      <c r="CH67" s="18"/>
      <c r="CI67" s="18">
        <v>0.02</v>
      </c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>
        <v>0.013</v>
      </c>
      <c r="CV67" s="11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1">
        <v>0.004</v>
      </c>
      <c r="DH67" s="18">
        <v>0.02</v>
      </c>
      <c r="DI67" s="18">
        <v>0.02</v>
      </c>
      <c r="DJ67" s="18">
        <v>0.02</v>
      </c>
      <c r="DK67" s="18"/>
      <c r="DL67" s="18"/>
      <c r="DM67" s="18"/>
      <c r="DN67" s="18"/>
      <c r="DO67" s="18"/>
      <c r="DP67" s="18"/>
      <c r="DQ67" s="18"/>
      <c r="DR67" s="18"/>
      <c r="DS67" s="18">
        <v>0.04</v>
      </c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>
        <v>0.005</v>
      </c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>
        <v>0.01</v>
      </c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>
        <v>0.01</v>
      </c>
      <c r="FR67" s="18"/>
      <c r="FS67" s="18"/>
      <c r="FT67" s="18">
        <v>0.008</v>
      </c>
      <c r="FU67" s="18">
        <v>0.005</v>
      </c>
      <c r="FV67" s="18"/>
      <c r="FW67" s="18">
        <v>0.005</v>
      </c>
      <c r="FX67" s="18"/>
      <c r="FY67" s="18"/>
      <c r="FZ67" s="18"/>
      <c r="GA67" s="18"/>
      <c r="GB67" s="18">
        <v>0.007</v>
      </c>
      <c r="GC67" s="18"/>
      <c r="GD67" s="18"/>
      <c r="GE67" s="18">
        <v>0.003</v>
      </c>
      <c r="GF67" s="18">
        <v>0.003</v>
      </c>
      <c r="GG67" s="18">
        <v>0.01</v>
      </c>
      <c r="GH67" s="18">
        <v>0.005</v>
      </c>
      <c r="GI67" s="18"/>
      <c r="GJ67" s="18"/>
      <c r="GK67" s="18"/>
      <c r="GL67" s="18"/>
      <c r="GM67" s="18">
        <v>0.004</v>
      </c>
      <c r="GN67" s="18"/>
      <c r="GO67" s="18">
        <v>0.01</v>
      </c>
      <c r="GP67" s="18"/>
      <c r="GQ67" s="18"/>
      <c r="GR67" s="18">
        <v>0.01</v>
      </c>
      <c r="GS67" s="18">
        <v>0.01</v>
      </c>
      <c r="GT67" s="18"/>
      <c r="GU67" s="18"/>
      <c r="GV67" s="18"/>
      <c r="GW67" s="18"/>
      <c r="GX67" s="18"/>
      <c r="GY67" s="18"/>
      <c r="GZ67" s="18"/>
      <c r="HA67" s="18">
        <v>0.009</v>
      </c>
      <c r="HB67" s="18"/>
      <c r="HC67" s="18"/>
      <c r="HD67" s="18"/>
      <c r="HE67" s="18"/>
      <c r="HF67" s="18"/>
      <c r="HG67" s="18">
        <v>0.012</v>
      </c>
      <c r="HH67" s="18"/>
      <c r="HI67" s="18"/>
      <c r="HJ67" s="18"/>
      <c r="HK67" s="18"/>
      <c r="HL67" s="18"/>
      <c r="HM67" s="18"/>
      <c r="HN67" s="18">
        <v>0.005</v>
      </c>
      <c r="HO67" s="18"/>
      <c r="HP67" s="18">
        <v>0.005</v>
      </c>
      <c r="HQ67" s="18"/>
      <c r="HR67" s="18">
        <v>0.01</v>
      </c>
      <c r="HS67" s="18"/>
      <c r="HT67" s="18"/>
      <c r="HU67" s="18"/>
      <c r="HV67" s="18"/>
      <c r="HW67" s="18"/>
      <c r="HX67" s="18"/>
    </row>
    <row r="68" spans="1:232" ht="12.75" customHeight="1">
      <c r="A68" s="2"/>
      <c r="B68" s="5"/>
      <c r="C68" s="4" t="s">
        <v>0</v>
      </c>
      <c r="D68" s="13">
        <f t="shared" si="27"/>
        <v>401.154</v>
      </c>
      <c r="E68" s="13">
        <f aca="true" t="shared" si="32" ref="E68:E78">SUM(G68:HX68)</f>
        <v>401.154</v>
      </c>
      <c r="F68" s="41"/>
      <c r="G68" s="18">
        <v>7.626</v>
      </c>
      <c r="H68" s="18">
        <v>7.626</v>
      </c>
      <c r="I68" s="18">
        <v>3.814</v>
      </c>
      <c r="J68" s="18">
        <v>3.814</v>
      </c>
      <c r="K68" s="18">
        <v>3.814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3.814</v>
      </c>
      <c r="AA68" s="18">
        <v>7.626</v>
      </c>
      <c r="AB68" s="18">
        <v>4.576</v>
      </c>
      <c r="AC68" s="18"/>
      <c r="AD68" s="18">
        <v>7.626</v>
      </c>
      <c r="AE68" s="18">
        <v>7.626</v>
      </c>
      <c r="AF68" s="18">
        <v>3.814</v>
      </c>
      <c r="AG68" s="18">
        <v>7.626</v>
      </c>
      <c r="AH68" s="18"/>
      <c r="AI68" s="18"/>
      <c r="AJ68" s="18">
        <v>3.814</v>
      </c>
      <c r="AK68" s="18">
        <v>3.814</v>
      </c>
      <c r="AL68" s="18"/>
      <c r="AM68" s="18">
        <v>7.626</v>
      </c>
      <c r="AN68" s="18"/>
      <c r="AO68" s="18"/>
      <c r="AP68" s="18"/>
      <c r="AQ68" s="18">
        <v>3.814</v>
      </c>
      <c r="AR68" s="18"/>
      <c r="AS68" s="18"/>
      <c r="AT68" s="18"/>
      <c r="AU68" s="18"/>
      <c r="AV68" s="18">
        <v>1.525</v>
      </c>
      <c r="AW68" s="18">
        <v>3.814</v>
      </c>
      <c r="AX68" s="18"/>
      <c r="AY68" s="18"/>
      <c r="AZ68" s="18"/>
      <c r="BA68" s="18"/>
      <c r="BB68" s="18"/>
      <c r="BC68" s="18"/>
      <c r="BD68" s="18">
        <v>3.05</v>
      </c>
      <c r="BE68" s="18"/>
      <c r="BF68" s="18">
        <v>3.814</v>
      </c>
      <c r="BG68" s="18"/>
      <c r="BH68" s="18">
        <v>7.626</v>
      </c>
      <c r="BI68" s="18"/>
      <c r="BJ68" s="18"/>
      <c r="BK68" s="18"/>
      <c r="BL68" s="18"/>
      <c r="BM68" s="18">
        <v>9.152</v>
      </c>
      <c r="BN68" s="18"/>
      <c r="BO68" s="18">
        <v>11.44</v>
      </c>
      <c r="BP68" s="18">
        <v>11.44</v>
      </c>
      <c r="BQ68" s="18">
        <v>15.254</v>
      </c>
      <c r="BR68" s="18">
        <v>5.338</v>
      </c>
      <c r="BS68" s="18">
        <v>3.814</v>
      </c>
      <c r="BT68" s="18"/>
      <c r="BU68" s="18"/>
      <c r="BV68" s="18"/>
      <c r="BW68" s="18"/>
      <c r="BX68" s="18"/>
      <c r="BY68" s="18"/>
      <c r="BZ68" s="18"/>
      <c r="CA68" s="18"/>
      <c r="CB68" s="18"/>
      <c r="CC68" s="18">
        <v>5.338</v>
      </c>
      <c r="CD68" s="18">
        <v>3.814</v>
      </c>
      <c r="CE68" s="18"/>
      <c r="CF68" s="18">
        <v>7.626</v>
      </c>
      <c r="CG68" s="18">
        <v>3.814</v>
      </c>
      <c r="CH68" s="18"/>
      <c r="CI68" s="18">
        <v>15.254</v>
      </c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>
        <v>9.916</v>
      </c>
      <c r="CV68" s="10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0">
        <v>3.05</v>
      </c>
      <c r="DH68" s="18">
        <v>15.254</v>
      </c>
      <c r="DI68" s="18">
        <v>15.254</v>
      </c>
      <c r="DJ68" s="18">
        <v>15.254</v>
      </c>
      <c r="DK68" s="18"/>
      <c r="DL68" s="18"/>
      <c r="DM68" s="18"/>
      <c r="DN68" s="18"/>
      <c r="DO68" s="18"/>
      <c r="DP68" s="18"/>
      <c r="DQ68" s="18"/>
      <c r="DR68" s="18"/>
      <c r="DS68" s="18">
        <v>30.509</v>
      </c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>
        <v>3.814</v>
      </c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>
        <v>7.612</v>
      </c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>
        <v>7.626</v>
      </c>
      <c r="FR68" s="18"/>
      <c r="FS68" s="18"/>
      <c r="FT68" s="18">
        <v>6.102</v>
      </c>
      <c r="FU68" s="18">
        <v>3.814</v>
      </c>
      <c r="FV68" s="18"/>
      <c r="FW68" s="18">
        <v>3.814</v>
      </c>
      <c r="FX68" s="18"/>
      <c r="FY68" s="18"/>
      <c r="FZ68" s="18"/>
      <c r="GA68" s="18"/>
      <c r="GB68" s="18">
        <v>5.338</v>
      </c>
      <c r="GC68" s="18"/>
      <c r="GD68" s="18"/>
      <c r="GE68" s="18">
        <v>2.288</v>
      </c>
      <c r="GF68" s="18">
        <v>2.288</v>
      </c>
      <c r="GG68" s="18">
        <v>7.626</v>
      </c>
      <c r="GH68" s="18">
        <v>3.814</v>
      </c>
      <c r="GI68" s="18"/>
      <c r="GJ68" s="18"/>
      <c r="GK68" s="18"/>
      <c r="GL68" s="18"/>
      <c r="GM68" s="18">
        <v>3.05</v>
      </c>
      <c r="GN68" s="18"/>
      <c r="GO68" s="18">
        <v>7.626</v>
      </c>
      <c r="GP68" s="18"/>
      <c r="GQ68" s="18"/>
      <c r="GR68" s="18">
        <v>7.626</v>
      </c>
      <c r="GS68" s="18">
        <v>7.626</v>
      </c>
      <c r="GT68" s="18"/>
      <c r="GU68" s="18"/>
      <c r="GV68" s="18"/>
      <c r="GW68" s="18"/>
      <c r="GX68" s="18"/>
      <c r="GY68" s="18"/>
      <c r="GZ68" s="18"/>
      <c r="HA68" s="18">
        <v>6.864</v>
      </c>
      <c r="HB68" s="18"/>
      <c r="HC68" s="18"/>
      <c r="HD68" s="18"/>
      <c r="HE68" s="18"/>
      <c r="HF68" s="18"/>
      <c r="HG68" s="18">
        <v>9.152</v>
      </c>
      <c r="HH68" s="18"/>
      <c r="HI68" s="18"/>
      <c r="HJ68" s="18"/>
      <c r="HK68" s="18"/>
      <c r="HL68" s="18"/>
      <c r="HM68" s="18"/>
      <c r="HN68" s="18">
        <v>3.814</v>
      </c>
      <c r="HO68" s="18"/>
      <c r="HP68" s="18">
        <v>3.814</v>
      </c>
      <c r="HQ68" s="18"/>
      <c r="HR68" s="18">
        <v>7.626</v>
      </c>
      <c r="HS68" s="18"/>
      <c r="HT68" s="18"/>
      <c r="HU68" s="18"/>
      <c r="HV68" s="18"/>
      <c r="HW68" s="18"/>
      <c r="HX68" s="18"/>
    </row>
    <row r="69" spans="1:232" ht="12.75" customHeight="1">
      <c r="A69" s="2" t="s">
        <v>323</v>
      </c>
      <c r="B69" s="5" t="s">
        <v>27</v>
      </c>
      <c r="C69" s="4" t="s">
        <v>24</v>
      </c>
      <c r="D69" s="13">
        <f t="shared" si="27"/>
        <v>1.6571999999999991</v>
      </c>
      <c r="E69" s="13">
        <f t="shared" si="32"/>
        <v>1.6571999999999991</v>
      </c>
      <c r="F69" s="6"/>
      <c r="G69" s="18">
        <v>0.01</v>
      </c>
      <c r="H69" s="18">
        <v>0.01</v>
      </c>
      <c r="I69" s="18">
        <v>0.005</v>
      </c>
      <c r="J69" s="18">
        <v>0.005</v>
      </c>
      <c r="K69" s="18">
        <v>0.005</v>
      </c>
      <c r="L69" s="18">
        <v>0.01</v>
      </c>
      <c r="M69" s="18">
        <v>0.01</v>
      </c>
      <c r="N69" s="18">
        <v>0.01</v>
      </c>
      <c r="O69" s="18">
        <v>0.01</v>
      </c>
      <c r="P69" s="18">
        <v>0.005</v>
      </c>
      <c r="Q69" s="18">
        <v>0.01</v>
      </c>
      <c r="R69" s="18">
        <v>0.01</v>
      </c>
      <c r="S69" s="18">
        <v>0.005</v>
      </c>
      <c r="T69" s="18">
        <v>0.015</v>
      </c>
      <c r="U69" s="18">
        <v>0.005</v>
      </c>
      <c r="V69" s="18">
        <v>0.01</v>
      </c>
      <c r="W69" s="18"/>
      <c r="X69" s="18">
        <v>0.01</v>
      </c>
      <c r="Y69" s="18"/>
      <c r="Z69" s="18">
        <v>0.005</v>
      </c>
      <c r="AA69" s="18">
        <v>0.01</v>
      </c>
      <c r="AB69" s="18">
        <v>0.006</v>
      </c>
      <c r="AC69" s="18"/>
      <c r="AD69" s="18">
        <v>0.01</v>
      </c>
      <c r="AE69" s="18">
        <v>0.01</v>
      </c>
      <c r="AF69" s="18">
        <v>0.007</v>
      </c>
      <c r="AG69" s="18">
        <v>0.005</v>
      </c>
      <c r="AH69" s="18"/>
      <c r="AI69" s="18"/>
      <c r="AJ69" s="18">
        <v>0.005</v>
      </c>
      <c r="AK69" s="18">
        <v>0.005</v>
      </c>
      <c r="AL69" s="18">
        <v>0.008</v>
      </c>
      <c r="AM69" s="18"/>
      <c r="AN69" s="18"/>
      <c r="AO69" s="18">
        <v>0.005</v>
      </c>
      <c r="AP69" s="18">
        <v>0.002</v>
      </c>
      <c r="AQ69" s="18">
        <v>0.005</v>
      </c>
      <c r="AR69" s="18"/>
      <c r="AS69" s="18">
        <v>0.005</v>
      </c>
      <c r="AT69" s="18">
        <v>0.02</v>
      </c>
      <c r="AU69" s="18">
        <v>0.004</v>
      </c>
      <c r="AV69" s="18">
        <v>0.005</v>
      </c>
      <c r="AW69" s="18">
        <v>0.015</v>
      </c>
      <c r="AX69" s="18"/>
      <c r="AY69" s="18"/>
      <c r="AZ69" s="18">
        <v>0.006</v>
      </c>
      <c r="BA69" s="18">
        <v>0.009</v>
      </c>
      <c r="BB69" s="18">
        <v>0.01</v>
      </c>
      <c r="BC69" s="18">
        <v>0.005</v>
      </c>
      <c r="BD69" s="18">
        <v>0.005</v>
      </c>
      <c r="BE69" s="18"/>
      <c r="BF69" s="18">
        <v>0.015</v>
      </c>
      <c r="BG69" s="18"/>
      <c r="BH69" s="18">
        <v>0.01</v>
      </c>
      <c r="BI69" s="18">
        <v>0.007</v>
      </c>
      <c r="BJ69" s="18"/>
      <c r="BK69" s="18"/>
      <c r="BL69" s="18"/>
      <c r="BM69" s="18">
        <v>0.005</v>
      </c>
      <c r="BN69" s="18"/>
      <c r="BO69" s="18">
        <v>0.015</v>
      </c>
      <c r="BP69" s="18">
        <v>0.015</v>
      </c>
      <c r="BQ69" s="18">
        <v>0.02</v>
      </c>
      <c r="BR69" s="18">
        <v>0.007</v>
      </c>
      <c r="BS69" s="18"/>
      <c r="BT69" s="18">
        <v>0.02</v>
      </c>
      <c r="BU69" s="18">
        <v>0.01</v>
      </c>
      <c r="BV69" s="18"/>
      <c r="BW69" s="18"/>
      <c r="BX69" s="18">
        <v>0.008</v>
      </c>
      <c r="BY69" s="18"/>
      <c r="BZ69" s="18">
        <v>0.01</v>
      </c>
      <c r="CA69" s="18">
        <v>0.02</v>
      </c>
      <c r="CB69" s="18">
        <v>0.015</v>
      </c>
      <c r="CC69" s="18">
        <v>0.007</v>
      </c>
      <c r="CD69" s="18">
        <v>0.005</v>
      </c>
      <c r="CE69" s="18"/>
      <c r="CF69" s="18">
        <v>0.01</v>
      </c>
      <c r="CG69" s="18">
        <v>0.005</v>
      </c>
      <c r="CH69" s="18"/>
      <c r="CI69" s="18">
        <v>0.015</v>
      </c>
      <c r="CJ69" s="18"/>
      <c r="CK69" s="18">
        <v>0.01</v>
      </c>
      <c r="CL69" s="18"/>
      <c r="CM69" s="18"/>
      <c r="CN69" s="18">
        <v>0.001</v>
      </c>
      <c r="CO69" s="18">
        <v>0.001</v>
      </c>
      <c r="CP69" s="18"/>
      <c r="CQ69" s="18"/>
      <c r="CR69" s="18"/>
      <c r="CS69" s="18">
        <v>0.004</v>
      </c>
      <c r="CT69" s="18"/>
      <c r="CU69" s="18">
        <v>0.006</v>
      </c>
      <c r="CV69" s="11">
        <v>0.003</v>
      </c>
      <c r="CW69" s="18"/>
      <c r="CX69" s="18"/>
      <c r="CY69" s="18">
        <v>0.01</v>
      </c>
      <c r="CZ69" s="18">
        <v>0.008</v>
      </c>
      <c r="DA69" s="18">
        <v>0.02</v>
      </c>
      <c r="DB69" s="18"/>
      <c r="DC69" s="18"/>
      <c r="DD69" s="18"/>
      <c r="DE69" s="18">
        <v>0.02</v>
      </c>
      <c r="DF69" s="18">
        <v>0.01</v>
      </c>
      <c r="DG69" s="11">
        <v>0.08</v>
      </c>
      <c r="DH69" s="18">
        <v>0.03</v>
      </c>
      <c r="DI69" s="18">
        <v>0.03</v>
      </c>
      <c r="DJ69" s="18">
        <v>0.04</v>
      </c>
      <c r="DK69" s="18"/>
      <c r="DL69" s="18">
        <v>0.01</v>
      </c>
      <c r="DM69" s="18"/>
      <c r="DN69" s="18">
        <v>0.01</v>
      </c>
      <c r="DO69" s="18">
        <v>0.02</v>
      </c>
      <c r="DP69" s="18">
        <v>0.015</v>
      </c>
      <c r="DQ69" s="18"/>
      <c r="DR69" s="18">
        <v>0.015</v>
      </c>
      <c r="DS69" s="18">
        <v>0.05</v>
      </c>
      <c r="DT69" s="18"/>
      <c r="DU69" s="18">
        <v>0.04</v>
      </c>
      <c r="DV69" s="18"/>
      <c r="DW69" s="18"/>
      <c r="DX69" s="18"/>
      <c r="DY69" s="18">
        <v>0.03</v>
      </c>
      <c r="DZ69" s="18">
        <v>0.02</v>
      </c>
      <c r="EA69" s="18">
        <v>0.02</v>
      </c>
      <c r="EB69" s="18">
        <v>0.02</v>
      </c>
      <c r="EC69" s="18">
        <v>0.01</v>
      </c>
      <c r="ED69" s="18">
        <v>0.01</v>
      </c>
      <c r="EE69" s="18">
        <v>0.02</v>
      </c>
      <c r="EF69" s="18">
        <v>0.01</v>
      </c>
      <c r="EG69" s="18">
        <v>0.005</v>
      </c>
      <c r="EH69" s="18"/>
      <c r="EI69" s="18">
        <v>0.002</v>
      </c>
      <c r="EJ69" s="18"/>
      <c r="EK69" s="18">
        <v>0.004</v>
      </c>
      <c r="EL69" s="18">
        <v>0.01</v>
      </c>
      <c r="EM69" s="18">
        <v>0.003</v>
      </c>
      <c r="EN69" s="18">
        <v>0.002</v>
      </c>
      <c r="EO69" s="18">
        <v>0.01</v>
      </c>
      <c r="EP69" s="18">
        <v>0.01</v>
      </c>
      <c r="EQ69" s="18">
        <v>0.015</v>
      </c>
      <c r="ER69" s="18"/>
      <c r="ES69" s="18"/>
      <c r="ET69" s="18">
        <v>0.01</v>
      </c>
      <c r="EU69" s="18"/>
      <c r="EV69" s="18"/>
      <c r="EW69" s="18">
        <v>0.02</v>
      </c>
      <c r="EX69" s="18"/>
      <c r="EY69" s="18"/>
      <c r="EZ69" s="18"/>
      <c r="FA69" s="18"/>
      <c r="FB69" s="18">
        <v>0.01</v>
      </c>
      <c r="FC69" s="18">
        <v>0.005</v>
      </c>
      <c r="FD69" s="18">
        <v>0.005</v>
      </c>
      <c r="FE69" s="18">
        <v>0.02</v>
      </c>
      <c r="FF69" s="18">
        <v>0.06</v>
      </c>
      <c r="FG69" s="18"/>
      <c r="FH69" s="18"/>
      <c r="FI69" s="18">
        <v>0.015</v>
      </c>
      <c r="FJ69" s="18"/>
      <c r="FK69" s="18">
        <v>0.015</v>
      </c>
      <c r="FL69" s="18">
        <v>0.01</v>
      </c>
      <c r="FM69" s="18">
        <v>0.01</v>
      </c>
      <c r="FN69" s="18"/>
      <c r="FO69" s="18"/>
      <c r="FP69" s="18"/>
      <c r="FQ69" s="18">
        <v>0.01</v>
      </c>
      <c r="FR69" s="18"/>
      <c r="FS69" s="18">
        <v>0.005</v>
      </c>
      <c r="FT69" s="18">
        <v>0.008</v>
      </c>
      <c r="FU69" s="18">
        <v>0.005</v>
      </c>
      <c r="FV69" s="18">
        <v>0.01</v>
      </c>
      <c r="FW69" s="18">
        <v>0.008</v>
      </c>
      <c r="FX69" s="18"/>
      <c r="FY69" s="18"/>
      <c r="FZ69" s="18">
        <v>0.001</v>
      </c>
      <c r="GA69" s="18"/>
      <c r="GB69" s="18">
        <v>0.01</v>
      </c>
      <c r="GC69" s="18"/>
      <c r="GD69" s="18">
        <v>0.01</v>
      </c>
      <c r="GE69" s="18">
        <v>0.005</v>
      </c>
      <c r="GF69" s="18">
        <v>0.005</v>
      </c>
      <c r="GG69" s="18">
        <v>0.01</v>
      </c>
      <c r="GH69" s="18">
        <v>0.005</v>
      </c>
      <c r="GI69" s="18"/>
      <c r="GJ69" s="18"/>
      <c r="GK69" s="18">
        <v>0.007</v>
      </c>
      <c r="GL69" s="18"/>
      <c r="GM69" s="18">
        <v>0.0002</v>
      </c>
      <c r="GN69" s="18"/>
      <c r="GO69" s="18">
        <v>0.01</v>
      </c>
      <c r="GP69" s="18">
        <v>0.005</v>
      </c>
      <c r="GQ69" s="18"/>
      <c r="GR69" s="18">
        <v>0.01</v>
      </c>
      <c r="GS69" s="18">
        <v>0.01</v>
      </c>
      <c r="GT69" s="18"/>
      <c r="GU69" s="18">
        <v>0.01</v>
      </c>
      <c r="GV69" s="18">
        <v>0.004</v>
      </c>
      <c r="GW69" s="18"/>
      <c r="GX69" s="18"/>
      <c r="GY69" s="18">
        <v>0.005</v>
      </c>
      <c r="GZ69" s="18">
        <v>0.01</v>
      </c>
      <c r="HA69" s="18">
        <v>0.008</v>
      </c>
      <c r="HB69" s="18"/>
      <c r="HC69" s="18">
        <v>0.008</v>
      </c>
      <c r="HD69" s="18">
        <v>0.008</v>
      </c>
      <c r="HE69" s="18">
        <v>0.004</v>
      </c>
      <c r="HF69" s="18"/>
      <c r="HG69" s="18">
        <v>0.012</v>
      </c>
      <c r="HH69" s="18">
        <v>0.003</v>
      </c>
      <c r="HI69" s="18"/>
      <c r="HJ69" s="18"/>
      <c r="HK69" s="18">
        <v>0.01</v>
      </c>
      <c r="HL69" s="18">
        <v>0.02</v>
      </c>
      <c r="HM69" s="18">
        <v>0.008</v>
      </c>
      <c r="HN69" s="18">
        <v>0.005</v>
      </c>
      <c r="HO69" s="18">
        <v>0.008</v>
      </c>
      <c r="HP69" s="18">
        <v>0.005</v>
      </c>
      <c r="HQ69" s="18">
        <v>0.01</v>
      </c>
      <c r="HR69" s="18">
        <v>0.01</v>
      </c>
      <c r="HS69" s="18">
        <v>0.01</v>
      </c>
      <c r="HT69" s="18"/>
      <c r="HU69" s="18">
        <v>0.01</v>
      </c>
      <c r="HV69" s="18">
        <v>0.01</v>
      </c>
      <c r="HW69" s="18"/>
      <c r="HX69" s="18"/>
    </row>
    <row r="70" spans="1:232" ht="12.75" customHeight="1">
      <c r="A70" s="2"/>
      <c r="B70" s="5"/>
      <c r="C70" s="4" t="s">
        <v>0</v>
      </c>
      <c r="D70" s="13">
        <f t="shared" si="27"/>
        <v>1263.2910000000006</v>
      </c>
      <c r="E70" s="13">
        <f t="shared" si="32"/>
        <v>1263.2910000000006</v>
      </c>
      <c r="F70" s="6"/>
      <c r="G70" s="18">
        <v>7.626</v>
      </c>
      <c r="H70" s="18">
        <v>7.626</v>
      </c>
      <c r="I70" s="18">
        <v>3.814</v>
      </c>
      <c r="J70" s="18">
        <v>3.814</v>
      </c>
      <c r="K70" s="18">
        <v>3.814</v>
      </c>
      <c r="L70" s="18">
        <v>7.626</v>
      </c>
      <c r="M70" s="18">
        <v>7.626</v>
      </c>
      <c r="N70" s="18">
        <v>7.626</v>
      </c>
      <c r="O70" s="18">
        <v>7.626</v>
      </c>
      <c r="P70" s="18">
        <v>3.814</v>
      </c>
      <c r="Q70" s="18">
        <v>7.626</v>
      </c>
      <c r="R70" s="18">
        <v>7.626</v>
      </c>
      <c r="S70" s="18">
        <v>3.814</v>
      </c>
      <c r="T70" s="18">
        <v>11.419</v>
      </c>
      <c r="U70" s="18">
        <v>3.814</v>
      </c>
      <c r="V70" s="18">
        <v>7.626</v>
      </c>
      <c r="W70" s="18"/>
      <c r="X70" s="18">
        <v>7.626</v>
      </c>
      <c r="Y70" s="18"/>
      <c r="Z70" s="18">
        <v>3.814</v>
      </c>
      <c r="AA70" s="18">
        <v>7.626</v>
      </c>
      <c r="AB70" s="18">
        <v>4.576</v>
      </c>
      <c r="AC70" s="18"/>
      <c r="AD70" s="18">
        <v>7.626</v>
      </c>
      <c r="AE70" s="18">
        <v>7.626</v>
      </c>
      <c r="AF70" s="18">
        <v>5.338</v>
      </c>
      <c r="AG70" s="18">
        <v>3.814</v>
      </c>
      <c r="AH70" s="18"/>
      <c r="AI70" s="18"/>
      <c r="AJ70" s="18">
        <v>3.814</v>
      </c>
      <c r="AK70" s="18">
        <v>3.814</v>
      </c>
      <c r="AL70" s="18">
        <v>6.102</v>
      </c>
      <c r="AM70" s="18"/>
      <c r="AN70" s="18"/>
      <c r="AO70" s="18">
        <v>3.814</v>
      </c>
      <c r="AP70" s="18">
        <v>1.525</v>
      </c>
      <c r="AQ70" s="18">
        <v>3.814</v>
      </c>
      <c r="AR70" s="18"/>
      <c r="AS70" s="18">
        <v>3.814</v>
      </c>
      <c r="AT70" s="18">
        <v>15.254</v>
      </c>
      <c r="AU70" s="18">
        <v>3.05</v>
      </c>
      <c r="AV70" s="18">
        <v>3.814</v>
      </c>
      <c r="AW70" s="18">
        <v>11.44</v>
      </c>
      <c r="AX70" s="18"/>
      <c r="AY70" s="18"/>
      <c r="AZ70" s="18">
        <v>4.576</v>
      </c>
      <c r="BA70" s="18">
        <v>6.864</v>
      </c>
      <c r="BB70" s="18">
        <v>7.626</v>
      </c>
      <c r="BC70" s="18">
        <v>3.814</v>
      </c>
      <c r="BD70" s="18">
        <v>3.814</v>
      </c>
      <c r="BE70" s="18"/>
      <c r="BF70" s="18">
        <v>11.44</v>
      </c>
      <c r="BG70" s="18"/>
      <c r="BH70" s="18">
        <v>7.626</v>
      </c>
      <c r="BI70" s="18">
        <v>5.338</v>
      </c>
      <c r="BJ70" s="18"/>
      <c r="BK70" s="18"/>
      <c r="BL70" s="18"/>
      <c r="BM70" s="18">
        <v>3.814</v>
      </c>
      <c r="BN70" s="18"/>
      <c r="BO70" s="18">
        <v>11.44</v>
      </c>
      <c r="BP70" s="18">
        <v>11.44</v>
      </c>
      <c r="BQ70" s="18">
        <v>15.254</v>
      </c>
      <c r="BR70" s="18">
        <v>5.338</v>
      </c>
      <c r="BS70" s="18"/>
      <c r="BT70" s="18">
        <v>15.254</v>
      </c>
      <c r="BU70" s="18">
        <v>7.626</v>
      </c>
      <c r="BV70" s="18"/>
      <c r="BW70" s="18"/>
      <c r="BX70" s="18">
        <v>6.102</v>
      </c>
      <c r="BY70" s="18"/>
      <c r="BZ70" s="18">
        <v>7.626</v>
      </c>
      <c r="CA70" s="18">
        <v>15.254</v>
      </c>
      <c r="CB70" s="18">
        <v>11.44</v>
      </c>
      <c r="CC70" s="18">
        <v>5.338</v>
      </c>
      <c r="CD70" s="18">
        <v>3.814</v>
      </c>
      <c r="CE70" s="18"/>
      <c r="CF70" s="18">
        <v>7.626</v>
      </c>
      <c r="CG70" s="18">
        <v>3.814</v>
      </c>
      <c r="CH70" s="18"/>
      <c r="CI70" s="18">
        <v>11.44</v>
      </c>
      <c r="CJ70" s="18"/>
      <c r="CK70" s="18">
        <v>7.626</v>
      </c>
      <c r="CL70" s="18"/>
      <c r="CM70" s="18"/>
      <c r="CN70" s="18">
        <v>0.763</v>
      </c>
      <c r="CO70" s="18">
        <v>0.763</v>
      </c>
      <c r="CP70" s="18"/>
      <c r="CQ70" s="18"/>
      <c r="CR70" s="18"/>
      <c r="CS70" s="18">
        <v>3.05</v>
      </c>
      <c r="CT70" s="18"/>
      <c r="CU70" s="18">
        <v>4.576</v>
      </c>
      <c r="CV70" s="10">
        <v>2.288</v>
      </c>
      <c r="CW70" s="18"/>
      <c r="CX70" s="18"/>
      <c r="CY70" s="18">
        <v>7.626</v>
      </c>
      <c r="CZ70" s="18">
        <v>6.102</v>
      </c>
      <c r="DA70" s="18">
        <v>15.254</v>
      </c>
      <c r="DB70" s="18"/>
      <c r="DC70" s="18"/>
      <c r="DD70" s="18"/>
      <c r="DE70" s="18">
        <v>15.254</v>
      </c>
      <c r="DF70" s="18">
        <v>7.626</v>
      </c>
      <c r="DG70" s="10">
        <v>61.017</v>
      </c>
      <c r="DH70" s="18">
        <v>22.881</v>
      </c>
      <c r="DI70" s="18">
        <v>22.881</v>
      </c>
      <c r="DJ70" s="18">
        <v>30.509</v>
      </c>
      <c r="DK70" s="18"/>
      <c r="DL70" s="18">
        <v>7.626</v>
      </c>
      <c r="DM70" s="18"/>
      <c r="DN70" s="18">
        <v>7.626</v>
      </c>
      <c r="DO70" s="18">
        <v>15.254</v>
      </c>
      <c r="DP70" s="18">
        <v>11.44</v>
      </c>
      <c r="DQ70" s="18"/>
      <c r="DR70" s="18">
        <v>11.44</v>
      </c>
      <c r="DS70" s="18">
        <v>38.135</v>
      </c>
      <c r="DT70" s="18"/>
      <c r="DU70" s="18">
        <v>30.509</v>
      </c>
      <c r="DV70" s="18"/>
      <c r="DW70" s="18"/>
      <c r="DX70" s="18"/>
      <c r="DY70" s="18">
        <v>22.881</v>
      </c>
      <c r="DZ70" s="18">
        <v>15.254</v>
      </c>
      <c r="EA70" s="18">
        <v>15.254</v>
      </c>
      <c r="EB70" s="18">
        <v>15.254</v>
      </c>
      <c r="EC70" s="18">
        <v>7.626</v>
      </c>
      <c r="ED70" s="18">
        <v>7.612</v>
      </c>
      <c r="EE70" s="18">
        <v>15.254</v>
      </c>
      <c r="EF70" s="18">
        <v>7.626</v>
      </c>
      <c r="EG70" s="18">
        <v>3.814</v>
      </c>
      <c r="EH70" s="18"/>
      <c r="EI70" s="18">
        <v>1.525</v>
      </c>
      <c r="EJ70" s="18"/>
      <c r="EK70" s="18">
        <v>3.05</v>
      </c>
      <c r="EL70" s="18">
        <v>7.626</v>
      </c>
      <c r="EM70" s="18">
        <v>2.288</v>
      </c>
      <c r="EN70" s="18">
        <v>1.525</v>
      </c>
      <c r="EO70" s="18">
        <v>7.626</v>
      </c>
      <c r="EP70" s="18">
        <v>7.626</v>
      </c>
      <c r="EQ70" s="18">
        <v>11.44</v>
      </c>
      <c r="ER70" s="18"/>
      <c r="ES70" s="18"/>
      <c r="ET70" s="18">
        <v>7.626</v>
      </c>
      <c r="EU70" s="18"/>
      <c r="EV70" s="18"/>
      <c r="EW70" s="18">
        <v>15.254</v>
      </c>
      <c r="EX70" s="18"/>
      <c r="EY70" s="18"/>
      <c r="EZ70" s="18"/>
      <c r="FA70" s="18"/>
      <c r="FB70" s="18">
        <v>7.626</v>
      </c>
      <c r="FC70" s="18">
        <f>11.44-10.38</f>
        <v>1.0599999999999987</v>
      </c>
      <c r="FD70" s="18">
        <v>3.814</v>
      </c>
      <c r="FE70" s="18">
        <v>15.254</v>
      </c>
      <c r="FF70" s="18">
        <v>45.675</v>
      </c>
      <c r="FG70" s="18"/>
      <c r="FH70" s="18"/>
      <c r="FI70" s="18">
        <v>11.44</v>
      </c>
      <c r="FJ70" s="18"/>
      <c r="FK70" s="18">
        <v>11.419</v>
      </c>
      <c r="FL70" s="18">
        <v>7.626</v>
      </c>
      <c r="FM70" s="18">
        <v>7.626</v>
      </c>
      <c r="FN70" s="18"/>
      <c r="FO70" s="18"/>
      <c r="FP70" s="18"/>
      <c r="FQ70" s="18">
        <v>7.626</v>
      </c>
      <c r="FR70" s="18"/>
      <c r="FS70" s="18">
        <v>3.814</v>
      </c>
      <c r="FT70" s="18">
        <v>6.102</v>
      </c>
      <c r="FU70" s="18">
        <v>3.814</v>
      </c>
      <c r="FV70" s="18">
        <v>7.626</v>
      </c>
      <c r="FW70" s="18">
        <v>6.102</v>
      </c>
      <c r="FX70" s="18"/>
      <c r="FY70" s="18"/>
      <c r="FZ70" s="18">
        <v>1.675</v>
      </c>
      <c r="GA70" s="18"/>
      <c r="GB70" s="18">
        <v>7.626</v>
      </c>
      <c r="GC70" s="18"/>
      <c r="GD70" s="18">
        <v>7.626</v>
      </c>
      <c r="GE70" s="18">
        <v>3.814</v>
      </c>
      <c r="GF70" s="18">
        <v>3.814</v>
      </c>
      <c r="GG70" s="18">
        <v>7.626</v>
      </c>
      <c r="GH70" s="18">
        <v>3.814</v>
      </c>
      <c r="GI70" s="18"/>
      <c r="GJ70" s="18"/>
      <c r="GK70" s="18">
        <v>5.338</v>
      </c>
      <c r="GL70" s="18"/>
      <c r="GM70" s="18">
        <v>1.525</v>
      </c>
      <c r="GN70" s="18"/>
      <c r="GO70" s="18">
        <v>7.626</v>
      </c>
      <c r="GP70" s="18">
        <v>3.814</v>
      </c>
      <c r="GQ70" s="18"/>
      <c r="GR70" s="18">
        <v>7.626</v>
      </c>
      <c r="GS70" s="18">
        <v>7.626</v>
      </c>
      <c r="GT70" s="18"/>
      <c r="GU70" s="18">
        <v>7.626</v>
      </c>
      <c r="GV70" s="18">
        <v>3.05</v>
      </c>
      <c r="GW70" s="18"/>
      <c r="GX70" s="18"/>
      <c r="GY70" s="18">
        <v>3.814</v>
      </c>
      <c r="GZ70" s="18">
        <v>7.626</v>
      </c>
      <c r="HA70" s="18">
        <v>6.102</v>
      </c>
      <c r="HB70" s="18"/>
      <c r="HC70" s="18">
        <v>6.102</v>
      </c>
      <c r="HD70" s="18">
        <v>6.102</v>
      </c>
      <c r="HE70" s="18">
        <v>3.05</v>
      </c>
      <c r="HF70" s="18"/>
      <c r="HG70" s="18">
        <v>9.152</v>
      </c>
      <c r="HH70" s="18">
        <v>2.288</v>
      </c>
      <c r="HI70" s="18"/>
      <c r="HJ70" s="18"/>
      <c r="HK70" s="18">
        <v>7.626</v>
      </c>
      <c r="HL70" s="18">
        <v>15.254</v>
      </c>
      <c r="HM70" s="18">
        <v>6.102</v>
      </c>
      <c r="HN70" s="18">
        <v>3.814</v>
      </c>
      <c r="HO70" s="18">
        <v>6.102</v>
      </c>
      <c r="HP70" s="18">
        <v>3.814</v>
      </c>
      <c r="HQ70" s="18">
        <v>7.626</v>
      </c>
      <c r="HR70" s="18">
        <v>7.626</v>
      </c>
      <c r="HS70" s="18">
        <v>7.626</v>
      </c>
      <c r="HT70" s="18"/>
      <c r="HU70" s="18">
        <v>7.626</v>
      </c>
      <c r="HV70" s="18">
        <v>7.626</v>
      </c>
      <c r="HW70" s="18"/>
      <c r="HX70" s="18"/>
    </row>
    <row r="71" spans="1:232" ht="12.75" customHeight="1">
      <c r="A71" s="2" t="s">
        <v>324</v>
      </c>
      <c r="B71" s="5" t="s">
        <v>26</v>
      </c>
      <c r="C71" s="4" t="s">
        <v>24</v>
      </c>
      <c r="D71" s="13">
        <f t="shared" si="27"/>
        <v>1.2010000000000003</v>
      </c>
      <c r="E71" s="13">
        <f t="shared" si="32"/>
        <v>1.2010000000000003</v>
      </c>
      <c r="F71" s="6"/>
      <c r="G71" s="18"/>
      <c r="H71" s="18">
        <v>0.007</v>
      </c>
      <c r="I71" s="18">
        <v>0.005</v>
      </c>
      <c r="J71" s="18">
        <v>0.005</v>
      </c>
      <c r="K71" s="18">
        <v>0.005</v>
      </c>
      <c r="L71" s="18"/>
      <c r="M71" s="18"/>
      <c r="N71" s="18">
        <v>0.01</v>
      </c>
      <c r="O71" s="18">
        <v>0.01</v>
      </c>
      <c r="P71" s="18">
        <v>0.005</v>
      </c>
      <c r="Q71" s="18">
        <v>0.01</v>
      </c>
      <c r="R71" s="18">
        <v>0.01</v>
      </c>
      <c r="S71" s="18">
        <v>0.005</v>
      </c>
      <c r="T71" s="18">
        <v>0.015</v>
      </c>
      <c r="U71" s="18">
        <v>0.005</v>
      </c>
      <c r="V71" s="18">
        <v>0.01</v>
      </c>
      <c r="W71" s="18"/>
      <c r="X71" s="18">
        <v>0.01</v>
      </c>
      <c r="Y71" s="18"/>
      <c r="Z71" s="18">
        <v>0.005</v>
      </c>
      <c r="AA71" s="18">
        <v>0.01</v>
      </c>
      <c r="AB71" s="18">
        <v>0.008</v>
      </c>
      <c r="AC71" s="18"/>
      <c r="AD71" s="18">
        <v>0.01</v>
      </c>
      <c r="AE71" s="18">
        <v>0.01</v>
      </c>
      <c r="AF71" s="18">
        <v>0.005</v>
      </c>
      <c r="AG71" s="18">
        <v>0.005</v>
      </c>
      <c r="AH71" s="18"/>
      <c r="AI71" s="18"/>
      <c r="AJ71" s="18">
        <v>0.005</v>
      </c>
      <c r="AK71" s="18">
        <v>0.005</v>
      </c>
      <c r="AL71" s="18">
        <v>0.01</v>
      </c>
      <c r="AM71" s="18"/>
      <c r="AN71" s="18"/>
      <c r="AO71" s="18">
        <v>0.006</v>
      </c>
      <c r="AP71" s="18">
        <v>0.003</v>
      </c>
      <c r="AQ71" s="18">
        <v>0.005</v>
      </c>
      <c r="AR71" s="18"/>
      <c r="AS71" s="18">
        <v>0.005</v>
      </c>
      <c r="AT71" s="18">
        <v>0.016</v>
      </c>
      <c r="AU71" s="18">
        <v>0.003</v>
      </c>
      <c r="AV71" s="18">
        <v>0.003</v>
      </c>
      <c r="AW71" s="18">
        <v>0.01</v>
      </c>
      <c r="AX71" s="18"/>
      <c r="AY71" s="18"/>
      <c r="AZ71" s="18">
        <v>0.007</v>
      </c>
      <c r="BA71" s="18"/>
      <c r="BB71" s="18">
        <v>0.01</v>
      </c>
      <c r="BC71" s="18"/>
      <c r="BD71" s="18">
        <v>0.004</v>
      </c>
      <c r="BE71" s="18">
        <v>0.005</v>
      </c>
      <c r="BF71" s="18">
        <v>0.01</v>
      </c>
      <c r="BG71" s="18"/>
      <c r="BH71" s="18">
        <v>0.005</v>
      </c>
      <c r="BI71" s="18">
        <v>0.008</v>
      </c>
      <c r="BJ71" s="18"/>
      <c r="BK71" s="18"/>
      <c r="BL71" s="18"/>
      <c r="BM71" s="18"/>
      <c r="BN71" s="18"/>
      <c r="BO71" s="18">
        <v>0.015</v>
      </c>
      <c r="BP71" s="18">
        <v>0.015</v>
      </c>
      <c r="BQ71" s="18">
        <v>0.02</v>
      </c>
      <c r="BR71" s="18">
        <v>0.007</v>
      </c>
      <c r="BS71" s="18">
        <v>0.005</v>
      </c>
      <c r="BT71" s="18">
        <v>0.02</v>
      </c>
      <c r="BU71" s="18">
        <v>0.01</v>
      </c>
      <c r="BV71" s="18"/>
      <c r="BW71" s="18">
        <v>0.008</v>
      </c>
      <c r="BX71" s="18">
        <v>0.008</v>
      </c>
      <c r="BY71" s="18"/>
      <c r="BZ71" s="18">
        <v>0.01</v>
      </c>
      <c r="CA71" s="18">
        <v>0.02</v>
      </c>
      <c r="CB71" s="18">
        <v>0.015</v>
      </c>
      <c r="CC71" s="18">
        <v>0.007</v>
      </c>
      <c r="CD71" s="18">
        <v>0.005</v>
      </c>
      <c r="CE71" s="18"/>
      <c r="CF71" s="18">
        <v>0.01</v>
      </c>
      <c r="CG71" s="18">
        <v>0.005</v>
      </c>
      <c r="CH71" s="18"/>
      <c r="CI71" s="18">
        <v>0.015</v>
      </c>
      <c r="CJ71" s="18"/>
      <c r="CK71" s="18">
        <v>0.01</v>
      </c>
      <c r="CL71" s="18"/>
      <c r="CM71" s="18"/>
      <c r="CN71" s="18">
        <v>0.001</v>
      </c>
      <c r="CO71" s="18"/>
      <c r="CP71" s="18"/>
      <c r="CQ71" s="18"/>
      <c r="CR71" s="18"/>
      <c r="CS71" s="18">
        <v>0.004</v>
      </c>
      <c r="CT71" s="18"/>
      <c r="CU71" s="18">
        <v>0.002</v>
      </c>
      <c r="CV71" s="11">
        <v>0.003</v>
      </c>
      <c r="CW71" s="18"/>
      <c r="CX71" s="18"/>
      <c r="CY71" s="18">
        <v>0.01</v>
      </c>
      <c r="CZ71" s="18">
        <v>0.008</v>
      </c>
      <c r="DA71" s="18">
        <v>0.02</v>
      </c>
      <c r="DB71" s="18"/>
      <c r="DC71" s="18"/>
      <c r="DD71" s="18"/>
      <c r="DE71" s="18">
        <v>0.02</v>
      </c>
      <c r="DF71" s="18">
        <v>0.01</v>
      </c>
      <c r="DG71" s="11">
        <v>0.04</v>
      </c>
      <c r="DH71" s="18">
        <v>0.01</v>
      </c>
      <c r="DI71" s="18">
        <v>0.01</v>
      </c>
      <c r="DJ71" s="18">
        <v>0.01</v>
      </c>
      <c r="DK71" s="18"/>
      <c r="DL71" s="18">
        <v>0.015</v>
      </c>
      <c r="DM71" s="18"/>
      <c r="DN71" s="18">
        <v>0.01</v>
      </c>
      <c r="DO71" s="18">
        <v>0.02</v>
      </c>
      <c r="DP71" s="18">
        <v>0.015</v>
      </c>
      <c r="DQ71" s="18"/>
      <c r="DR71" s="18">
        <v>0.015</v>
      </c>
      <c r="DS71" s="18">
        <v>0.03</v>
      </c>
      <c r="DT71" s="18"/>
      <c r="DU71" s="18">
        <v>0.01</v>
      </c>
      <c r="DV71" s="18"/>
      <c r="DW71" s="18"/>
      <c r="DX71" s="18">
        <v>0.015</v>
      </c>
      <c r="DY71" s="18"/>
      <c r="DZ71" s="18"/>
      <c r="EA71" s="18"/>
      <c r="EB71" s="18">
        <v>0.008</v>
      </c>
      <c r="EC71" s="18"/>
      <c r="ED71" s="18"/>
      <c r="EE71" s="18" t="s">
        <v>337</v>
      </c>
      <c r="EF71" s="18">
        <v>0.01</v>
      </c>
      <c r="EG71" s="18">
        <v>0.01</v>
      </c>
      <c r="EH71" s="18">
        <v>0.005</v>
      </c>
      <c r="EI71" s="18">
        <v>0.002</v>
      </c>
      <c r="EJ71" s="18"/>
      <c r="EK71" s="18">
        <v>0.004</v>
      </c>
      <c r="EL71" s="18">
        <v>0.01</v>
      </c>
      <c r="EM71" s="18">
        <v>0.004</v>
      </c>
      <c r="EN71" s="18">
        <v>0.004</v>
      </c>
      <c r="EO71" s="18">
        <v>0.005</v>
      </c>
      <c r="EP71" s="18">
        <v>0.01</v>
      </c>
      <c r="EQ71" s="18"/>
      <c r="ER71" s="18"/>
      <c r="ES71" s="18"/>
      <c r="ET71" s="18">
        <v>0.01</v>
      </c>
      <c r="EU71" s="18"/>
      <c r="EV71" s="18"/>
      <c r="EW71" s="18">
        <v>0.02</v>
      </c>
      <c r="EX71" s="18"/>
      <c r="EY71" s="18"/>
      <c r="EZ71" s="18"/>
      <c r="FA71" s="18"/>
      <c r="FB71" s="18">
        <v>0.01</v>
      </c>
      <c r="FC71" s="18">
        <v>0.015</v>
      </c>
      <c r="FD71" s="18">
        <v>0.01</v>
      </c>
      <c r="FE71" s="18">
        <v>0.02</v>
      </c>
      <c r="FF71" s="18">
        <v>0.01</v>
      </c>
      <c r="FG71" s="18">
        <v>0.01</v>
      </c>
      <c r="FH71" s="18"/>
      <c r="FI71" s="18">
        <v>0.015</v>
      </c>
      <c r="FJ71" s="18"/>
      <c r="FK71" s="18"/>
      <c r="FL71" s="18">
        <v>0.01</v>
      </c>
      <c r="FM71" s="18"/>
      <c r="FN71" s="18"/>
      <c r="FO71" s="18"/>
      <c r="FP71" s="18">
        <v>0.01</v>
      </c>
      <c r="FQ71" s="18">
        <v>0.006</v>
      </c>
      <c r="FR71" s="18"/>
      <c r="FS71" s="18">
        <v>0.005</v>
      </c>
      <c r="FT71" s="18">
        <v>0.005</v>
      </c>
      <c r="FU71" s="18">
        <v>0.005</v>
      </c>
      <c r="FV71" s="18">
        <v>0.01</v>
      </c>
      <c r="FW71" s="18">
        <v>0.005</v>
      </c>
      <c r="FX71" s="18"/>
      <c r="FY71" s="18"/>
      <c r="FZ71" s="18"/>
      <c r="GA71" s="18"/>
      <c r="GB71" s="18">
        <v>0.003</v>
      </c>
      <c r="GC71" s="18"/>
      <c r="GD71" s="18"/>
      <c r="GE71" s="18">
        <v>0.002</v>
      </c>
      <c r="GF71" s="18">
        <v>0.003</v>
      </c>
      <c r="GG71" s="18">
        <v>0.01</v>
      </c>
      <c r="GH71" s="18">
        <v>0.005</v>
      </c>
      <c r="GI71" s="18"/>
      <c r="GJ71" s="18"/>
      <c r="GK71" s="18">
        <v>0.006</v>
      </c>
      <c r="GL71" s="18"/>
      <c r="GM71" s="18">
        <v>0.01</v>
      </c>
      <c r="GN71" s="18"/>
      <c r="GO71" s="18">
        <v>0.008</v>
      </c>
      <c r="GP71" s="18">
        <v>0.005</v>
      </c>
      <c r="GQ71" s="18"/>
      <c r="GR71" s="18"/>
      <c r="GS71" s="18"/>
      <c r="GT71" s="18"/>
      <c r="GU71" s="18">
        <v>0.01</v>
      </c>
      <c r="GV71" s="18">
        <v>0.004</v>
      </c>
      <c r="GW71" s="18"/>
      <c r="GX71" s="18"/>
      <c r="GY71" s="18"/>
      <c r="GZ71" s="18">
        <v>0.01</v>
      </c>
      <c r="HA71" s="18">
        <v>0.004</v>
      </c>
      <c r="HB71" s="18"/>
      <c r="HC71" s="18"/>
      <c r="HD71" s="18">
        <v>0.008</v>
      </c>
      <c r="HE71" s="18">
        <v>0.004</v>
      </c>
      <c r="HF71" s="18"/>
      <c r="HG71" s="18">
        <v>0.008</v>
      </c>
      <c r="HH71" s="18">
        <v>0.004</v>
      </c>
      <c r="HI71" s="18"/>
      <c r="HJ71" s="18"/>
      <c r="HK71" s="18">
        <v>0.01</v>
      </c>
      <c r="HL71" s="18">
        <v>0.02</v>
      </c>
      <c r="HM71" s="18"/>
      <c r="HN71" s="18">
        <v>0.008</v>
      </c>
      <c r="HO71" s="18">
        <v>0.008</v>
      </c>
      <c r="HP71" s="18">
        <v>0.005</v>
      </c>
      <c r="HQ71" s="18">
        <v>0.01</v>
      </c>
      <c r="HR71" s="18">
        <v>0.01</v>
      </c>
      <c r="HS71" s="18">
        <v>0.01</v>
      </c>
      <c r="HT71" s="18"/>
      <c r="HU71" s="18"/>
      <c r="HV71" s="18"/>
      <c r="HW71" s="18"/>
      <c r="HX71" s="18"/>
    </row>
    <row r="72" spans="1:232" ht="12.75" customHeight="1">
      <c r="A72" s="2"/>
      <c r="B72" s="5"/>
      <c r="C72" s="4" t="s">
        <v>0</v>
      </c>
      <c r="D72" s="13">
        <f t="shared" si="27"/>
        <v>508.80799999999977</v>
      </c>
      <c r="E72" s="13">
        <f t="shared" si="32"/>
        <v>508.80799999999977</v>
      </c>
      <c r="F72" s="6"/>
      <c r="G72" s="18"/>
      <c r="H72" s="18">
        <v>2.957</v>
      </c>
      <c r="I72" s="18">
        <v>2.113</v>
      </c>
      <c r="J72" s="18">
        <v>2.113</v>
      </c>
      <c r="K72" s="18">
        <v>2.113</v>
      </c>
      <c r="L72" s="18"/>
      <c r="M72" s="18"/>
      <c r="N72" s="18">
        <v>4.226</v>
      </c>
      <c r="O72" s="18">
        <v>4.226</v>
      </c>
      <c r="P72" s="18">
        <v>2.113</v>
      </c>
      <c r="Q72" s="18">
        <v>4.226</v>
      </c>
      <c r="R72" s="18">
        <v>4.226</v>
      </c>
      <c r="S72" s="18">
        <v>2.113</v>
      </c>
      <c r="T72" s="18">
        <v>6.351</v>
      </c>
      <c r="U72" s="18">
        <v>2.113</v>
      </c>
      <c r="V72" s="18">
        <v>4.226</v>
      </c>
      <c r="W72" s="18"/>
      <c r="X72" s="18">
        <v>4.226</v>
      </c>
      <c r="Y72" s="18"/>
      <c r="Z72" s="18">
        <v>2.113</v>
      </c>
      <c r="AA72" s="18">
        <v>4.226</v>
      </c>
      <c r="AB72" s="18">
        <v>3.381</v>
      </c>
      <c r="AC72" s="18"/>
      <c r="AD72" s="18">
        <v>4.226</v>
      </c>
      <c r="AE72" s="18">
        <v>4.226</v>
      </c>
      <c r="AF72" s="18">
        <v>2.113</v>
      </c>
      <c r="AG72" s="18">
        <v>2.113</v>
      </c>
      <c r="AH72" s="18"/>
      <c r="AI72" s="18"/>
      <c r="AJ72" s="18">
        <v>2.113</v>
      </c>
      <c r="AK72" s="18">
        <v>2.113</v>
      </c>
      <c r="AL72" s="18">
        <v>4.226</v>
      </c>
      <c r="AM72" s="18"/>
      <c r="AN72" s="18"/>
      <c r="AO72" s="18">
        <v>3.344</v>
      </c>
      <c r="AP72" s="18">
        <v>1.267</v>
      </c>
      <c r="AQ72" s="18">
        <v>2.113</v>
      </c>
      <c r="AR72" s="18"/>
      <c r="AS72" s="18">
        <v>2.113</v>
      </c>
      <c r="AT72" s="18">
        <v>6.76</v>
      </c>
      <c r="AU72" s="18">
        <v>1.267</v>
      </c>
      <c r="AV72" s="18">
        <v>1.267</v>
      </c>
      <c r="AW72" s="18">
        <v>4.226</v>
      </c>
      <c r="AX72" s="18"/>
      <c r="AY72" s="18"/>
      <c r="AZ72" s="18">
        <v>2.957</v>
      </c>
      <c r="BA72" s="18"/>
      <c r="BB72" s="18">
        <v>4.226</v>
      </c>
      <c r="BC72" s="18"/>
      <c r="BD72" s="18">
        <v>1.69</v>
      </c>
      <c r="BE72" s="18">
        <v>2.113</v>
      </c>
      <c r="BF72" s="18">
        <v>4.226</v>
      </c>
      <c r="BG72" s="18"/>
      <c r="BH72" s="18">
        <v>2.113</v>
      </c>
      <c r="BI72" s="18">
        <v>3.381</v>
      </c>
      <c r="BJ72" s="18"/>
      <c r="BK72" s="18"/>
      <c r="BL72" s="18"/>
      <c r="BM72" s="18"/>
      <c r="BN72" s="18"/>
      <c r="BO72" s="18">
        <v>6.339</v>
      </c>
      <c r="BP72" s="18">
        <v>6.339</v>
      </c>
      <c r="BQ72" s="18">
        <v>8.452</v>
      </c>
      <c r="BR72" s="18">
        <v>2.957</v>
      </c>
      <c r="BS72" s="18">
        <v>2.113</v>
      </c>
      <c r="BT72" s="18">
        <v>8.452</v>
      </c>
      <c r="BU72" s="18">
        <v>4.226</v>
      </c>
      <c r="BV72" s="18"/>
      <c r="BW72" s="18">
        <v>3.381</v>
      </c>
      <c r="BX72" s="18">
        <v>3.381</v>
      </c>
      <c r="BY72" s="18"/>
      <c r="BZ72" s="18">
        <v>4.226</v>
      </c>
      <c r="CA72" s="18">
        <v>8.452</v>
      </c>
      <c r="CB72" s="18">
        <v>6.339</v>
      </c>
      <c r="CC72" s="18">
        <v>2.957</v>
      </c>
      <c r="CD72" s="18">
        <v>2.113</v>
      </c>
      <c r="CE72" s="18"/>
      <c r="CF72" s="18">
        <v>4.226</v>
      </c>
      <c r="CG72" s="18">
        <v>2.113</v>
      </c>
      <c r="CH72" s="18"/>
      <c r="CI72" s="18">
        <v>6.339</v>
      </c>
      <c r="CJ72" s="18"/>
      <c r="CK72" s="18">
        <v>4.226</v>
      </c>
      <c r="CL72" s="18"/>
      <c r="CM72" s="18"/>
      <c r="CN72" s="18">
        <v>0.422</v>
      </c>
      <c r="CO72" s="18"/>
      <c r="CP72" s="18"/>
      <c r="CQ72" s="18"/>
      <c r="CR72" s="18"/>
      <c r="CS72" s="18">
        <v>1.69</v>
      </c>
      <c r="CT72" s="18"/>
      <c r="CU72" s="18">
        <v>0.846</v>
      </c>
      <c r="CV72" s="10">
        <v>1.267</v>
      </c>
      <c r="CW72" s="18"/>
      <c r="CX72" s="18"/>
      <c r="CY72" s="18">
        <v>4.226</v>
      </c>
      <c r="CZ72" s="18">
        <v>3.381</v>
      </c>
      <c r="DA72" s="18">
        <v>8.452</v>
      </c>
      <c r="DB72" s="18"/>
      <c r="DC72" s="18"/>
      <c r="DD72" s="18"/>
      <c r="DE72" s="18">
        <v>8.452</v>
      </c>
      <c r="DF72" s="18">
        <v>4.226</v>
      </c>
      <c r="DG72" s="10">
        <v>16.902</v>
      </c>
      <c r="DH72" s="18">
        <v>4.226</v>
      </c>
      <c r="DI72" s="18">
        <v>4.226</v>
      </c>
      <c r="DJ72" s="18">
        <v>4.226</v>
      </c>
      <c r="DK72" s="18"/>
      <c r="DL72" s="18">
        <v>6.339</v>
      </c>
      <c r="DM72" s="18"/>
      <c r="DN72" s="18">
        <v>4.226</v>
      </c>
      <c r="DO72" s="18">
        <v>8.452</v>
      </c>
      <c r="DP72" s="18">
        <v>6.339</v>
      </c>
      <c r="DQ72" s="18"/>
      <c r="DR72" s="18">
        <v>6.339</v>
      </c>
      <c r="DS72" s="18">
        <v>12.677</v>
      </c>
      <c r="DT72" s="18"/>
      <c r="DU72" s="18">
        <v>4.226</v>
      </c>
      <c r="DV72" s="18"/>
      <c r="DW72" s="18"/>
      <c r="DX72" s="18">
        <v>6.339</v>
      </c>
      <c r="DY72" s="18"/>
      <c r="DZ72" s="18"/>
      <c r="EA72" s="18"/>
      <c r="EB72" s="18">
        <v>3.381</v>
      </c>
      <c r="EC72" s="18"/>
      <c r="ED72" s="18"/>
      <c r="EE72" s="18"/>
      <c r="EF72" s="18">
        <v>4.226</v>
      </c>
      <c r="EG72" s="18">
        <v>4.226</v>
      </c>
      <c r="EH72" s="18">
        <v>2.113</v>
      </c>
      <c r="EI72" s="18">
        <v>0.846</v>
      </c>
      <c r="EJ72" s="18"/>
      <c r="EK72" s="18">
        <v>1.69</v>
      </c>
      <c r="EL72" s="18">
        <v>4.226</v>
      </c>
      <c r="EM72" s="18">
        <v>1.69</v>
      </c>
      <c r="EN72" s="18">
        <v>1.69</v>
      </c>
      <c r="EO72" s="18">
        <v>2.113</v>
      </c>
      <c r="EP72" s="18">
        <v>4.226</v>
      </c>
      <c r="EQ72" s="18"/>
      <c r="ER72" s="18"/>
      <c r="ES72" s="18"/>
      <c r="ET72" s="18">
        <v>4.226</v>
      </c>
      <c r="EU72" s="18"/>
      <c r="EV72" s="18"/>
      <c r="EW72" s="18">
        <v>8.452</v>
      </c>
      <c r="EX72" s="18"/>
      <c r="EY72" s="18"/>
      <c r="EZ72" s="18"/>
      <c r="FA72" s="18"/>
      <c r="FB72" s="18">
        <v>4.226</v>
      </c>
      <c r="FC72" s="18">
        <v>6.339</v>
      </c>
      <c r="FD72" s="18">
        <v>4.226</v>
      </c>
      <c r="FE72" s="18">
        <v>8.452</v>
      </c>
      <c r="FF72" s="18">
        <v>4.235</v>
      </c>
      <c r="FG72" s="18">
        <f>4.226+0.44</f>
        <v>4.666</v>
      </c>
      <c r="FH72" s="18"/>
      <c r="FI72" s="18">
        <v>6.339</v>
      </c>
      <c r="FJ72" s="18"/>
      <c r="FK72" s="18"/>
      <c r="FL72" s="18">
        <v>4.226</v>
      </c>
      <c r="FM72" s="18"/>
      <c r="FN72" s="18"/>
      <c r="FO72" s="18"/>
      <c r="FP72" s="18">
        <v>4.235</v>
      </c>
      <c r="FQ72" s="18">
        <v>2.536</v>
      </c>
      <c r="FR72" s="18"/>
      <c r="FS72" s="18">
        <v>2.113</v>
      </c>
      <c r="FT72" s="18">
        <v>2.113</v>
      </c>
      <c r="FU72" s="18">
        <v>2.113</v>
      </c>
      <c r="FV72" s="18">
        <v>4.226</v>
      </c>
      <c r="FW72" s="18">
        <v>2.113</v>
      </c>
      <c r="FX72" s="18"/>
      <c r="FY72" s="18"/>
      <c r="FZ72" s="18"/>
      <c r="GA72" s="18"/>
      <c r="GB72" s="18">
        <v>1.267</v>
      </c>
      <c r="GC72" s="18"/>
      <c r="GD72" s="18"/>
      <c r="GE72" s="18">
        <v>0.846</v>
      </c>
      <c r="GF72" s="18">
        <v>1.267</v>
      </c>
      <c r="GG72" s="18">
        <v>4.226</v>
      </c>
      <c r="GH72" s="18">
        <v>2.113</v>
      </c>
      <c r="GI72" s="18"/>
      <c r="GJ72" s="18"/>
      <c r="GK72" s="18">
        <v>2.536</v>
      </c>
      <c r="GL72" s="18"/>
      <c r="GM72" s="18">
        <v>4.226</v>
      </c>
      <c r="GN72" s="18"/>
      <c r="GO72" s="18">
        <v>3.381</v>
      </c>
      <c r="GP72" s="18">
        <v>2.113</v>
      </c>
      <c r="GQ72" s="18"/>
      <c r="GR72" s="18"/>
      <c r="GS72" s="18"/>
      <c r="GT72" s="18"/>
      <c r="GU72" s="18">
        <v>4.226</v>
      </c>
      <c r="GV72" s="18">
        <v>1.69</v>
      </c>
      <c r="GW72" s="18"/>
      <c r="GX72" s="18"/>
      <c r="GY72" s="18"/>
      <c r="GZ72" s="18">
        <v>4.226</v>
      </c>
      <c r="HA72" s="18">
        <v>1.69</v>
      </c>
      <c r="HB72" s="18"/>
      <c r="HC72" s="18"/>
      <c r="HD72" s="18">
        <v>3.381</v>
      </c>
      <c r="HE72" s="18">
        <v>1.69</v>
      </c>
      <c r="HF72" s="18"/>
      <c r="HG72" s="18">
        <v>3.381</v>
      </c>
      <c r="HH72" s="18">
        <v>1.69</v>
      </c>
      <c r="HI72" s="18"/>
      <c r="HJ72" s="18"/>
      <c r="HK72" s="18">
        <v>4.226</v>
      </c>
      <c r="HL72" s="18">
        <v>8.452</v>
      </c>
      <c r="HM72" s="18"/>
      <c r="HN72" s="18">
        <v>3.381</v>
      </c>
      <c r="HO72" s="18">
        <v>3.381</v>
      </c>
      <c r="HP72" s="18">
        <v>2.113</v>
      </c>
      <c r="HQ72" s="18">
        <v>4.226</v>
      </c>
      <c r="HR72" s="18">
        <v>4.226</v>
      </c>
      <c r="HS72" s="18">
        <v>4.226</v>
      </c>
      <c r="HT72" s="18"/>
      <c r="HU72" s="18"/>
      <c r="HV72" s="18"/>
      <c r="HW72" s="18"/>
      <c r="HX72" s="18"/>
    </row>
    <row r="73" spans="1:232" ht="12.75">
      <c r="A73" s="2" t="s">
        <v>325</v>
      </c>
      <c r="B73" s="5" t="s">
        <v>25</v>
      </c>
      <c r="C73" s="4" t="s">
        <v>24</v>
      </c>
      <c r="D73" s="13">
        <f t="shared" si="27"/>
        <v>1.2449999999999994</v>
      </c>
      <c r="E73" s="13">
        <f t="shared" si="32"/>
        <v>1.2449999999999994</v>
      </c>
      <c r="F73" s="6"/>
      <c r="G73" s="18"/>
      <c r="H73" s="18">
        <v>0.01</v>
      </c>
      <c r="I73" s="18">
        <v>0.005</v>
      </c>
      <c r="J73" s="18">
        <v>0.005</v>
      </c>
      <c r="K73" s="18">
        <v>0.005</v>
      </c>
      <c r="L73" s="18"/>
      <c r="M73" s="18"/>
      <c r="N73" s="18">
        <v>0.01</v>
      </c>
      <c r="O73" s="18">
        <v>0.01</v>
      </c>
      <c r="P73" s="18">
        <v>0.005</v>
      </c>
      <c r="Q73" s="18">
        <v>0.01</v>
      </c>
      <c r="R73" s="18"/>
      <c r="S73" s="18">
        <v>0.005</v>
      </c>
      <c r="T73" s="18">
        <v>0.015</v>
      </c>
      <c r="U73" s="18">
        <v>0.005</v>
      </c>
      <c r="V73" s="18">
        <v>0.01</v>
      </c>
      <c r="W73" s="18"/>
      <c r="X73" s="18">
        <v>0.005</v>
      </c>
      <c r="Y73" s="18"/>
      <c r="Z73" s="18">
        <v>0.005</v>
      </c>
      <c r="AA73" s="18">
        <v>0.01</v>
      </c>
      <c r="AB73" s="18"/>
      <c r="AC73" s="18"/>
      <c r="AD73" s="18">
        <v>0.01</v>
      </c>
      <c r="AE73" s="18">
        <v>0.005</v>
      </c>
      <c r="AF73" s="18">
        <v>0.007</v>
      </c>
      <c r="AG73" s="18">
        <v>0.005</v>
      </c>
      <c r="AH73" s="18">
        <v>0.015</v>
      </c>
      <c r="AI73" s="18"/>
      <c r="AJ73" s="18">
        <v>0.005</v>
      </c>
      <c r="AK73" s="18">
        <v>0.005</v>
      </c>
      <c r="AL73" s="18"/>
      <c r="AM73" s="18"/>
      <c r="AN73" s="18"/>
      <c r="AO73" s="18"/>
      <c r="AP73" s="18"/>
      <c r="AQ73" s="18">
        <v>0.005</v>
      </c>
      <c r="AR73" s="18"/>
      <c r="AS73" s="18">
        <v>0.005</v>
      </c>
      <c r="AT73" s="18"/>
      <c r="AU73" s="18">
        <v>0.002</v>
      </c>
      <c r="AV73" s="18">
        <v>0.006</v>
      </c>
      <c r="AW73" s="18">
        <v>0.005</v>
      </c>
      <c r="AX73" s="18"/>
      <c r="AY73" s="18"/>
      <c r="AZ73" s="18">
        <v>0.005</v>
      </c>
      <c r="BA73" s="18"/>
      <c r="BB73" s="18">
        <v>0.01</v>
      </c>
      <c r="BC73" s="18">
        <v>0.005</v>
      </c>
      <c r="BD73" s="18">
        <v>0.005</v>
      </c>
      <c r="BE73" s="18"/>
      <c r="BF73" s="18">
        <v>0.003</v>
      </c>
      <c r="BG73" s="18"/>
      <c r="BH73" s="18">
        <v>0.01</v>
      </c>
      <c r="BI73" s="18">
        <v>0.005</v>
      </c>
      <c r="BJ73" s="18"/>
      <c r="BK73" s="18"/>
      <c r="BL73" s="18"/>
      <c r="BM73" s="18">
        <v>0.005</v>
      </c>
      <c r="BN73" s="18"/>
      <c r="BO73" s="18">
        <v>0.015</v>
      </c>
      <c r="BP73" s="18">
        <v>0.02</v>
      </c>
      <c r="BQ73" s="18">
        <v>0.017</v>
      </c>
      <c r="BR73" s="18">
        <v>0.006</v>
      </c>
      <c r="BS73" s="18"/>
      <c r="BT73" s="18">
        <v>0.02</v>
      </c>
      <c r="BU73" s="18">
        <v>0.01</v>
      </c>
      <c r="BV73" s="18"/>
      <c r="BW73" s="18">
        <v>0.008</v>
      </c>
      <c r="BX73" s="18">
        <v>0.005</v>
      </c>
      <c r="BY73" s="18"/>
      <c r="BZ73" s="18">
        <v>0.01</v>
      </c>
      <c r="CA73" s="18">
        <v>0.02</v>
      </c>
      <c r="CB73" s="18">
        <v>0.015</v>
      </c>
      <c r="CC73" s="18">
        <v>0.007</v>
      </c>
      <c r="CD73" s="18">
        <v>0.005</v>
      </c>
      <c r="CE73" s="18"/>
      <c r="CF73" s="18">
        <v>0.01</v>
      </c>
      <c r="CG73" s="18">
        <v>0.005</v>
      </c>
      <c r="CH73" s="18"/>
      <c r="CI73" s="18">
        <v>0.015</v>
      </c>
      <c r="CJ73" s="18"/>
      <c r="CK73" s="18">
        <v>0.01</v>
      </c>
      <c r="CL73" s="18"/>
      <c r="CM73" s="18"/>
      <c r="CN73" s="18">
        <v>0.001</v>
      </c>
      <c r="CO73" s="18"/>
      <c r="CP73" s="18"/>
      <c r="CQ73" s="18"/>
      <c r="CR73" s="18"/>
      <c r="CS73" s="18">
        <v>0.002</v>
      </c>
      <c r="CT73" s="18"/>
      <c r="CU73" s="18">
        <v>0.006</v>
      </c>
      <c r="CV73" s="11">
        <v>0.002</v>
      </c>
      <c r="CW73" s="18"/>
      <c r="CX73" s="18"/>
      <c r="CY73" s="18">
        <v>0.01</v>
      </c>
      <c r="CZ73" s="18"/>
      <c r="DA73" s="18">
        <v>0.02</v>
      </c>
      <c r="DB73" s="18"/>
      <c r="DC73" s="18"/>
      <c r="DD73" s="18"/>
      <c r="DE73" s="18">
        <v>0.02</v>
      </c>
      <c r="DF73" s="18">
        <v>0.01</v>
      </c>
      <c r="DG73" s="11">
        <f>0.03+0.015+0.015+0.025</f>
        <v>0.08499999999999999</v>
      </c>
      <c r="DH73" s="18">
        <v>0.015</v>
      </c>
      <c r="DI73" s="18">
        <v>0.015</v>
      </c>
      <c r="DJ73" s="18">
        <v>0.01</v>
      </c>
      <c r="DK73" s="18"/>
      <c r="DL73" s="18">
        <v>0.01</v>
      </c>
      <c r="DM73" s="18"/>
      <c r="DN73" s="18">
        <v>0.005</v>
      </c>
      <c r="DO73" s="18">
        <v>0.02</v>
      </c>
      <c r="DP73" s="18">
        <v>0.015</v>
      </c>
      <c r="DQ73" s="18"/>
      <c r="DR73" s="18">
        <v>0.015</v>
      </c>
      <c r="DS73" s="18">
        <v>0.035</v>
      </c>
      <c r="DT73" s="18"/>
      <c r="DU73" s="18">
        <v>0.02</v>
      </c>
      <c r="DV73" s="18">
        <v>0.006</v>
      </c>
      <c r="DW73" s="18"/>
      <c r="DX73" s="18">
        <v>0.01</v>
      </c>
      <c r="DY73" s="18">
        <v>0.01</v>
      </c>
      <c r="DZ73" s="18">
        <v>0.004</v>
      </c>
      <c r="EA73" s="18">
        <v>0.004</v>
      </c>
      <c r="EB73" s="18">
        <v>0.008</v>
      </c>
      <c r="EC73" s="18">
        <v>0.01</v>
      </c>
      <c r="ED73" s="18"/>
      <c r="EE73" s="18">
        <v>0.01</v>
      </c>
      <c r="EF73" s="18">
        <v>0.005</v>
      </c>
      <c r="EG73" s="18">
        <v>0.005</v>
      </c>
      <c r="EH73" s="18"/>
      <c r="EI73" s="18">
        <v>0.002</v>
      </c>
      <c r="EJ73" s="18"/>
      <c r="EK73" s="18">
        <v>0.001</v>
      </c>
      <c r="EL73" s="18">
        <v>0.006</v>
      </c>
      <c r="EM73" s="18">
        <v>0.004</v>
      </c>
      <c r="EN73" s="18">
        <v>0.004</v>
      </c>
      <c r="EO73" s="18">
        <v>0.005</v>
      </c>
      <c r="EP73" s="18">
        <v>0.01</v>
      </c>
      <c r="EQ73" s="18"/>
      <c r="ER73" s="18"/>
      <c r="ES73" s="18">
        <v>0.005</v>
      </c>
      <c r="ET73" s="18">
        <v>0.01</v>
      </c>
      <c r="EU73" s="18"/>
      <c r="EV73" s="18"/>
      <c r="EW73" s="18">
        <v>0.02</v>
      </c>
      <c r="EX73" s="18"/>
      <c r="EY73" s="18"/>
      <c r="EZ73" s="18"/>
      <c r="FA73" s="18"/>
      <c r="FB73" s="18"/>
      <c r="FC73" s="18">
        <v>0.015</v>
      </c>
      <c r="FD73" s="18">
        <v>0.005</v>
      </c>
      <c r="FE73" s="18">
        <v>0.02</v>
      </c>
      <c r="FF73" s="18">
        <v>0.02</v>
      </c>
      <c r="FG73" s="18"/>
      <c r="FH73" s="18"/>
      <c r="FI73" s="18">
        <v>0.015</v>
      </c>
      <c r="FJ73" s="18"/>
      <c r="FK73" s="18">
        <v>0.006</v>
      </c>
      <c r="FL73" s="18">
        <v>0.01</v>
      </c>
      <c r="FM73" s="18"/>
      <c r="FN73" s="18"/>
      <c r="FO73" s="18"/>
      <c r="FP73" s="18">
        <v>0.01</v>
      </c>
      <c r="FQ73" s="18"/>
      <c r="FR73" s="18"/>
      <c r="FS73" s="18">
        <v>0.005</v>
      </c>
      <c r="FT73" s="18">
        <v>0.005</v>
      </c>
      <c r="FU73" s="18">
        <v>0.005</v>
      </c>
      <c r="FV73" s="18">
        <v>0.005</v>
      </c>
      <c r="FW73" s="18">
        <v>0.005</v>
      </c>
      <c r="FX73" s="18"/>
      <c r="FY73" s="18"/>
      <c r="FZ73" s="18"/>
      <c r="GA73" s="18"/>
      <c r="GB73" s="18">
        <v>0.007</v>
      </c>
      <c r="GC73" s="18"/>
      <c r="GD73" s="18"/>
      <c r="GE73" s="18">
        <v>0.002</v>
      </c>
      <c r="GF73" s="18">
        <v>0.002</v>
      </c>
      <c r="GG73" s="18">
        <v>0.006</v>
      </c>
      <c r="GH73" s="18">
        <v>0.006</v>
      </c>
      <c r="GI73" s="18"/>
      <c r="GJ73" s="18"/>
      <c r="GK73" s="18">
        <v>0.007</v>
      </c>
      <c r="GL73" s="18"/>
      <c r="GM73" s="18">
        <v>0.002</v>
      </c>
      <c r="GN73" s="18"/>
      <c r="GO73" s="18">
        <v>0.01</v>
      </c>
      <c r="GP73" s="18">
        <v>0.005</v>
      </c>
      <c r="GQ73" s="18"/>
      <c r="GR73" s="18">
        <v>0.014</v>
      </c>
      <c r="GS73" s="18">
        <v>0.014</v>
      </c>
      <c r="GT73" s="18"/>
      <c r="GU73" s="18">
        <v>0.01</v>
      </c>
      <c r="GV73" s="18">
        <v>0.004</v>
      </c>
      <c r="GW73" s="18"/>
      <c r="GX73" s="18"/>
      <c r="GY73" s="18">
        <v>0.004</v>
      </c>
      <c r="GZ73" s="18">
        <v>0.005</v>
      </c>
      <c r="HA73" s="18">
        <v>0.006</v>
      </c>
      <c r="HB73" s="18"/>
      <c r="HC73" s="18">
        <v>0.007</v>
      </c>
      <c r="HD73" s="18">
        <v>0.004</v>
      </c>
      <c r="HE73" s="18">
        <v>0.006</v>
      </c>
      <c r="HF73" s="18"/>
      <c r="HG73" s="18">
        <v>0.008</v>
      </c>
      <c r="HH73" s="18">
        <v>0.01</v>
      </c>
      <c r="HI73" s="18"/>
      <c r="HJ73" s="18"/>
      <c r="HK73" s="18">
        <v>0.01</v>
      </c>
      <c r="HL73" s="18">
        <v>0.016</v>
      </c>
      <c r="HM73" s="18">
        <v>0.008</v>
      </c>
      <c r="HN73" s="18">
        <v>0.005</v>
      </c>
      <c r="HO73" s="18">
        <v>0.005</v>
      </c>
      <c r="HP73" s="18">
        <v>0.005</v>
      </c>
      <c r="HQ73" s="18">
        <v>0.015</v>
      </c>
      <c r="HR73" s="18">
        <v>0.01</v>
      </c>
      <c r="HS73" s="18">
        <v>0.01</v>
      </c>
      <c r="HT73" s="18"/>
      <c r="HU73" s="18">
        <v>0.005</v>
      </c>
      <c r="HV73" s="18"/>
      <c r="HW73" s="18"/>
      <c r="HX73" s="18"/>
    </row>
    <row r="74" spans="1:232" ht="12.75">
      <c r="A74" s="2"/>
      <c r="B74" s="5"/>
      <c r="C74" s="4" t="s">
        <v>0</v>
      </c>
      <c r="D74" s="13">
        <f t="shared" si="27"/>
        <v>1403.4559999999994</v>
      </c>
      <c r="E74" s="13">
        <f t="shared" si="32"/>
        <v>1403.4559999999994</v>
      </c>
      <c r="F74" s="6"/>
      <c r="G74" s="18"/>
      <c r="H74" s="18">
        <v>10.904</v>
      </c>
      <c r="I74" s="18">
        <v>5.452</v>
      </c>
      <c r="J74" s="18">
        <v>5.452</v>
      </c>
      <c r="K74" s="18">
        <v>5.452</v>
      </c>
      <c r="L74" s="18"/>
      <c r="M74" s="18"/>
      <c r="N74" s="18">
        <v>10.904</v>
      </c>
      <c r="O74" s="18">
        <v>10.904</v>
      </c>
      <c r="P74" s="18">
        <v>5.452</v>
      </c>
      <c r="Q74" s="18">
        <v>10.904</v>
      </c>
      <c r="R74" s="18"/>
      <c r="S74" s="18">
        <v>5.452</v>
      </c>
      <c r="T74" s="18">
        <v>16.356</v>
      </c>
      <c r="U74" s="18">
        <v>5.452</v>
      </c>
      <c r="V74" s="18">
        <v>10.904</v>
      </c>
      <c r="W74" s="18"/>
      <c r="X74" s="18">
        <v>5.452</v>
      </c>
      <c r="Y74" s="18"/>
      <c r="Z74" s="18">
        <v>5.452</v>
      </c>
      <c r="AA74" s="18">
        <v>10.904</v>
      </c>
      <c r="AB74" s="18"/>
      <c r="AC74" s="18"/>
      <c r="AD74" s="18">
        <v>10.904</v>
      </c>
      <c r="AE74" s="18">
        <v>5.452</v>
      </c>
      <c r="AF74" s="18">
        <v>7.632</v>
      </c>
      <c r="AG74" s="18">
        <v>5.452</v>
      </c>
      <c r="AH74" s="18">
        <v>16.356</v>
      </c>
      <c r="AI74" s="18"/>
      <c r="AJ74" s="18">
        <v>5.452</v>
      </c>
      <c r="AK74" s="18">
        <v>5.452</v>
      </c>
      <c r="AL74" s="18"/>
      <c r="AM74" s="18"/>
      <c r="AN74" s="18"/>
      <c r="AO74" s="18"/>
      <c r="AP74" s="18"/>
      <c r="AQ74" s="18">
        <v>5.452</v>
      </c>
      <c r="AR74" s="18"/>
      <c r="AS74" s="18">
        <v>5.452</v>
      </c>
      <c r="AT74" s="18"/>
      <c r="AU74" s="18">
        <v>2.181</v>
      </c>
      <c r="AV74" s="18">
        <v>6.541</v>
      </c>
      <c r="AW74" s="18">
        <v>5.452</v>
      </c>
      <c r="AX74" s="18"/>
      <c r="AY74" s="18"/>
      <c r="AZ74" s="18">
        <v>5.452</v>
      </c>
      <c r="BA74" s="18"/>
      <c r="BB74" s="18">
        <v>10.904</v>
      </c>
      <c r="BC74" s="18">
        <v>5.452</v>
      </c>
      <c r="BD74" s="18">
        <v>5.452</v>
      </c>
      <c r="BE74" s="18"/>
      <c r="BF74" s="18">
        <v>3.272</v>
      </c>
      <c r="BG74" s="18"/>
      <c r="BH74" s="18">
        <v>10.904</v>
      </c>
      <c r="BI74" s="18">
        <v>5.452</v>
      </c>
      <c r="BJ74" s="18"/>
      <c r="BK74" s="18"/>
      <c r="BL74" s="18"/>
      <c r="BM74" s="18">
        <v>5.452</v>
      </c>
      <c r="BN74" s="18"/>
      <c r="BO74" s="18">
        <v>16.356</v>
      </c>
      <c r="BP74" s="18">
        <v>21.81</v>
      </c>
      <c r="BQ74" s="18">
        <v>18.538</v>
      </c>
      <c r="BR74" s="18">
        <v>6.541</v>
      </c>
      <c r="BS74" s="18"/>
      <c r="BT74" s="18">
        <v>21.81</v>
      </c>
      <c r="BU74" s="18">
        <v>10.904</v>
      </c>
      <c r="BV74" s="18"/>
      <c r="BW74" s="18">
        <v>8.724</v>
      </c>
      <c r="BX74" s="18">
        <v>5.452</v>
      </c>
      <c r="BY74" s="18"/>
      <c r="BZ74" s="18">
        <v>10.904</v>
      </c>
      <c r="CA74" s="18">
        <v>21.81</v>
      </c>
      <c r="CB74" s="18">
        <v>16.356</v>
      </c>
      <c r="CC74" s="18">
        <v>7.632</v>
      </c>
      <c r="CD74" s="18">
        <v>5.452</v>
      </c>
      <c r="CE74" s="18"/>
      <c r="CF74" s="18">
        <v>10.904</v>
      </c>
      <c r="CG74" s="18">
        <v>5.452</v>
      </c>
      <c r="CH74" s="18"/>
      <c r="CI74" s="18">
        <v>16.356</v>
      </c>
      <c r="CJ74" s="18"/>
      <c r="CK74" s="18">
        <v>10.904</v>
      </c>
      <c r="CL74" s="18"/>
      <c r="CM74" s="18"/>
      <c r="CN74" s="18">
        <v>1.092</v>
      </c>
      <c r="CO74" s="18"/>
      <c r="CP74" s="18"/>
      <c r="CQ74" s="18"/>
      <c r="CR74" s="18"/>
      <c r="CS74" s="18">
        <v>2.181</v>
      </c>
      <c r="CT74" s="18"/>
      <c r="CU74" s="18">
        <v>6.541</v>
      </c>
      <c r="CV74" s="10">
        <v>2.181</v>
      </c>
      <c r="CW74" s="18"/>
      <c r="CX74" s="18"/>
      <c r="CY74" s="18">
        <v>10.904</v>
      </c>
      <c r="CZ74" s="18"/>
      <c r="DA74" s="18">
        <v>21.81</v>
      </c>
      <c r="DB74" s="18"/>
      <c r="DC74" s="18"/>
      <c r="DD74" s="18"/>
      <c r="DE74" s="18">
        <v>21.81</v>
      </c>
      <c r="DF74" s="18">
        <v>10.904</v>
      </c>
      <c r="DG74" s="10">
        <f>40.075+20.038+20.038+33.398</f>
        <v>113.549</v>
      </c>
      <c r="DH74" s="18">
        <v>16.356</v>
      </c>
      <c r="DI74" s="18">
        <v>16.356</v>
      </c>
      <c r="DJ74" s="18">
        <v>10.904</v>
      </c>
      <c r="DK74" s="18"/>
      <c r="DL74" s="18">
        <v>10.904</v>
      </c>
      <c r="DM74" s="18"/>
      <c r="DN74" s="18">
        <v>5.452</v>
      </c>
      <c r="DO74" s="18">
        <v>21.81</v>
      </c>
      <c r="DP74" s="18">
        <v>16.356</v>
      </c>
      <c r="DQ74" s="18"/>
      <c r="DR74" s="18">
        <v>16.356</v>
      </c>
      <c r="DS74" s="18">
        <v>38.164</v>
      </c>
      <c r="DT74" s="18"/>
      <c r="DU74" s="18">
        <v>26.719</v>
      </c>
      <c r="DV74" s="18">
        <v>8.015</v>
      </c>
      <c r="DW74" s="18"/>
      <c r="DX74" s="18">
        <v>13.359</v>
      </c>
      <c r="DY74" s="18">
        <v>13.359</v>
      </c>
      <c r="DZ74" s="18">
        <v>5.343</v>
      </c>
      <c r="EA74" s="18">
        <v>5.343</v>
      </c>
      <c r="EB74" s="18">
        <v>10.687</v>
      </c>
      <c r="EC74" s="18">
        <v>13.359</v>
      </c>
      <c r="ED74" s="18"/>
      <c r="EE74" s="18">
        <v>13.359</v>
      </c>
      <c r="EF74" s="18">
        <v>6.679</v>
      </c>
      <c r="EG74" s="18">
        <v>5.452</v>
      </c>
      <c r="EH74" s="18"/>
      <c r="EI74" s="18">
        <v>2.181</v>
      </c>
      <c r="EJ74" s="18"/>
      <c r="EK74" s="18">
        <v>1.092</v>
      </c>
      <c r="EL74" s="18">
        <v>6.541</v>
      </c>
      <c r="EM74" s="18">
        <v>4.361</v>
      </c>
      <c r="EN74" s="18">
        <v>4.361</v>
      </c>
      <c r="EO74" s="18">
        <v>5.452</v>
      </c>
      <c r="EP74" s="18">
        <v>10.904</v>
      </c>
      <c r="EQ74" s="18"/>
      <c r="ER74" s="18"/>
      <c r="ES74" s="18">
        <v>6.679</v>
      </c>
      <c r="ET74" s="18">
        <v>10.904</v>
      </c>
      <c r="EU74" s="18"/>
      <c r="EV74" s="18"/>
      <c r="EW74" s="18">
        <v>21.81</v>
      </c>
      <c r="EX74" s="18"/>
      <c r="EY74" s="18"/>
      <c r="EZ74" s="18"/>
      <c r="FA74" s="18"/>
      <c r="FB74" s="18"/>
      <c r="FC74" s="18">
        <v>16.356</v>
      </c>
      <c r="FD74" s="18">
        <v>5.452</v>
      </c>
      <c r="FE74" s="18">
        <v>21.81</v>
      </c>
      <c r="FF74" s="18">
        <v>21.81</v>
      </c>
      <c r="FG74" s="18"/>
      <c r="FH74" s="18"/>
      <c r="FI74" s="18">
        <v>16.356</v>
      </c>
      <c r="FJ74" s="18"/>
      <c r="FK74" s="18">
        <v>6.541</v>
      </c>
      <c r="FL74" s="18">
        <v>10.904</v>
      </c>
      <c r="FM74" s="18"/>
      <c r="FN74" s="18"/>
      <c r="FO74" s="18"/>
      <c r="FP74" s="18">
        <v>10.904</v>
      </c>
      <c r="FQ74" s="18"/>
      <c r="FR74" s="18"/>
      <c r="FS74" s="18">
        <v>5.452</v>
      </c>
      <c r="FT74" s="18">
        <v>5.452</v>
      </c>
      <c r="FU74" s="18">
        <v>5.452</v>
      </c>
      <c r="FV74" s="18">
        <v>5.452</v>
      </c>
      <c r="FW74" s="18">
        <v>5.452</v>
      </c>
      <c r="FX74" s="18"/>
      <c r="FY74" s="18"/>
      <c r="FZ74" s="18"/>
      <c r="GA74" s="18"/>
      <c r="GB74" s="18">
        <v>7.632</v>
      </c>
      <c r="GC74" s="18"/>
      <c r="GD74" s="18"/>
      <c r="GE74" s="18">
        <v>2.181</v>
      </c>
      <c r="GF74" s="18">
        <v>2.181</v>
      </c>
      <c r="GG74" s="18">
        <v>6.541</v>
      </c>
      <c r="GH74" s="18">
        <v>6.541</v>
      </c>
      <c r="GI74" s="18"/>
      <c r="GJ74" s="18"/>
      <c r="GK74" s="18">
        <v>7.632</v>
      </c>
      <c r="GL74" s="18"/>
      <c r="GM74" s="18">
        <v>2.181</v>
      </c>
      <c r="GN74" s="18"/>
      <c r="GO74" s="18">
        <v>10.904</v>
      </c>
      <c r="GP74" s="18">
        <v>5.452</v>
      </c>
      <c r="GQ74" s="18"/>
      <c r="GR74" s="18">
        <v>15.264</v>
      </c>
      <c r="GS74" s="18">
        <v>15.264</v>
      </c>
      <c r="GT74" s="18"/>
      <c r="GU74" s="18">
        <v>10.904</v>
      </c>
      <c r="GV74" s="18">
        <v>4.361</v>
      </c>
      <c r="GW74" s="18"/>
      <c r="GX74" s="18"/>
      <c r="GY74" s="18">
        <v>4.361</v>
      </c>
      <c r="GZ74" s="18">
        <v>5.452</v>
      </c>
      <c r="HA74" s="18">
        <v>6.541</v>
      </c>
      <c r="HB74" s="18"/>
      <c r="HC74" s="18">
        <v>7.632</v>
      </c>
      <c r="HD74" s="18">
        <v>4.361</v>
      </c>
      <c r="HE74" s="18">
        <v>6.541</v>
      </c>
      <c r="HF74" s="18"/>
      <c r="HG74" s="18">
        <v>8.724</v>
      </c>
      <c r="HH74" s="18">
        <v>13.359</v>
      </c>
      <c r="HI74" s="18"/>
      <c r="HJ74" s="18"/>
      <c r="HK74" s="18">
        <v>10.904</v>
      </c>
      <c r="HL74" s="18">
        <v>17.446</v>
      </c>
      <c r="HM74" s="18">
        <v>8.724</v>
      </c>
      <c r="HN74" s="18">
        <v>5.452</v>
      </c>
      <c r="HO74" s="18">
        <v>5.452</v>
      </c>
      <c r="HP74" s="18">
        <v>5.452</v>
      </c>
      <c r="HQ74" s="18">
        <v>16.356</v>
      </c>
      <c r="HR74" s="18">
        <v>10.904</v>
      </c>
      <c r="HS74" s="18">
        <v>10.904</v>
      </c>
      <c r="HT74" s="18"/>
      <c r="HU74" s="18">
        <v>5.452</v>
      </c>
      <c r="HV74" s="18"/>
      <c r="HW74" s="18"/>
      <c r="HX74" s="18"/>
    </row>
    <row r="75" spans="1:232" ht="12.75">
      <c r="A75" s="2" t="s">
        <v>16</v>
      </c>
      <c r="B75" s="3" t="s">
        <v>22</v>
      </c>
      <c r="C75" s="4" t="s">
        <v>1</v>
      </c>
      <c r="D75" s="6">
        <f t="shared" si="27"/>
        <v>0</v>
      </c>
      <c r="E75" s="6">
        <f t="shared" si="32"/>
        <v>0</v>
      </c>
      <c r="F75" s="6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0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0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</row>
    <row r="76" spans="1:232" ht="12.75">
      <c r="A76" s="2"/>
      <c r="B76" s="5"/>
      <c r="C76" s="4" t="s">
        <v>0</v>
      </c>
      <c r="D76" s="6">
        <f t="shared" si="27"/>
        <v>0</v>
      </c>
      <c r="E76" s="6">
        <f t="shared" si="32"/>
        <v>0</v>
      </c>
      <c r="F76" s="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0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0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</row>
    <row r="77" spans="1:232" ht="26.25" customHeight="1">
      <c r="A77" s="2" t="s">
        <v>15</v>
      </c>
      <c r="B77" s="9" t="s">
        <v>326</v>
      </c>
      <c r="C77" s="4" t="s">
        <v>1</v>
      </c>
      <c r="D77" s="6">
        <f t="shared" si="27"/>
        <v>3261</v>
      </c>
      <c r="E77" s="6">
        <f t="shared" si="32"/>
        <v>3261</v>
      </c>
      <c r="F77" s="6"/>
      <c r="G77" s="18">
        <v>15</v>
      </c>
      <c r="H77" s="18">
        <v>30</v>
      </c>
      <c r="I77" s="18">
        <v>15</v>
      </c>
      <c r="J77" s="18">
        <v>15</v>
      </c>
      <c r="K77" s="18">
        <v>45</v>
      </c>
      <c r="L77" s="18">
        <v>10</v>
      </c>
      <c r="M77" s="18"/>
      <c r="N77" s="18">
        <v>20</v>
      </c>
      <c r="O77" s="18">
        <v>20</v>
      </c>
      <c r="P77" s="18">
        <v>15</v>
      </c>
      <c r="Q77" s="18">
        <v>30</v>
      </c>
      <c r="R77" s="18">
        <v>10</v>
      </c>
      <c r="S77" s="18">
        <v>10</v>
      </c>
      <c r="T77" s="18">
        <v>40</v>
      </c>
      <c r="U77" s="18">
        <v>10</v>
      </c>
      <c r="V77" s="18">
        <v>20</v>
      </c>
      <c r="W77" s="18">
        <v>10</v>
      </c>
      <c r="X77" s="18">
        <v>10</v>
      </c>
      <c r="Y77" s="18"/>
      <c r="Z77" s="18">
        <v>15</v>
      </c>
      <c r="AA77" s="18">
        <v>18</v>
      </c>
      <c r="AB77" s="18">
        <v>13</v>
      </c>
      <c r="AC77" s="18"/>
      <c r="AD77" s="18">
        <v>28</v>
      </c>
      <c r="AE77" s="18">
        <v>20</v>
      </c>
      <c r="AF77" s="18">
        <v>9</v>
      </c>
      <c r="AG77" s="18">
        <v>9</v>
      </c>
      <c r="AH77" s="18"/>
      <c r="AI77" s="18"/>
      <c r="AJ77" s="18">
        <v>20</v>
      </c>
      <c r="AK77" s="18">
        <v>20</v>
      </c>
      <c r="AL77" s="18">
        <v>11</v>
      </c>
      <c r="AM77" s="18"/>
      <c r="AN77" s="18"/>
      <c r="AO77" s="18">
        <v>6</v>
      </c>
      <c r="AP77" s="18">
        <v>1</v>
      </c>
      <c r="AQ77" s="18">
        <v>15</v>
      </c>
      <c r="AR77" s="18"/>
      <c r="AS77" s="18">
        <v>10</v>
      </c>
      <c r="AT77" s="18">
        <v>6</v>
      </c>
      <c r="AU77" s="18">
        <v>4</v>
      </c>
      <c r="AV77" s="18">
        <v>20</v>
      </c>
      <c r="AW77" s="18">
        <v>12</v>
      </c>
      <c r="AX77" s="18"/>
      <c r="AY77" s="18"/>
      <c r="AZ77" s="18">
        <v>9</v>
      </c>
      <c r="BA77" s="18">
        <v>11</v>
      </c>
      <c r="BB77" s="18">
        <v>10</v>
      </c>
      <c r="BC77" s="18">
        <v>10</v>
      </c>
      <c r="BD77" s="18">
        <v>12</v>
      </c>
      <c r="BE77" s="18">
        <v>12</v>
      </c>
      <c r="BF77" s="18">
        <v>12</v>
      </c>
      <c r="BG77" s="18">
        <v>16</v>
      </c>
      <c r="BH77" s="18">
        <v>17</v>
      </c>
      <c r="BI77" s="18">
        <v>10</v>
      </c>
      <c r="BJ77" s="18"/>
      <c r="BK77" s="18"/>
      <c r="BL77" s="18">
        <v>15</v>
      </c>
      <c r="BM77" s="18">
        <v>16</v>
      </c>
      <c r="BN77" s="18">
        <v>15</v>
      </c>
      <c r="BO77" s="18">
        <v>35</v>
      </c>
      <c r="BP77" s="18">
        <v>45</v>
      </c>
      <c r="BQ77" s="18">
        <v>60</v>
      </c>
      <c r="BR77" s="18">
        <v>25</v>
      </c>
      <c r="BS77" s="18">
        <v>5</v>
      </c>
      <c r="BT77" s="18">
        <v>30</v>
      </c>
      <c r="BU77" s="18">
        <v>20</v>
      </c>
      <c r="BV77" s="18"/>
      <c r="BW77" s="18">
        <v>10</v>
      </c>
      <c r="BX77" s="18">
        <v>11</v>
      </c>
      <c r="BY77" s="18"/>
      <c r="BZ77" s="18">
        <v>16</v>
      </c>
      <c r="CA77" s="18">
        <v>30</v>
      </c>
      <c r="CB77" s="18">
        <v>20</v>
      </c>
      <c r="CC77" s="18">
        <v>15</v>
      </c>
      <c r="CD77" s="18">
        <v>15</v>
      </c>
      <c r="CE77" s="18"/>
      <c r="CF77" s="18">
        <v>15</v>
      </c>
      <c r="CG77" s="18">
        <v>15</v>
      </c>
      <c r="CH77" s="18"/>
      <c r="CI77" s="18">
        <v>45</v>
      </c>
      <c r="CJ77" s="18"/>
      <c r="CK77" s="18">
        <v>20</v>
      </c>
      <c r="CL77" s="18"/>
      <c r="CM77" s="18"/>
      <c r="CN77" s="18">
        <v>2</v>
      </c>
      <c r="CO77" s="18">
        <v>3</v>
      </c>
      <c r="CP77" s="18"/>
      <c r="CQ77" s="18"/>
      <c r="CR77" s="18"/>
      <c r="CS77" s="18">
        <v>4</v>
      </c>
      <c r="CT77" s="18"/>
      <c r="CU77" s="18">
        <v>17</v>
      </c>
      <c r="CV77" s="10">
        <v>4</v>
      </c>
      <c r="CW77" s="18">
        <v>22</v>
      </c>
      <c r="CX77" s="18"/>
      <c r="CY77" s="18">
        <v>18</v>
      </c>
      <c r="CZ77" s="18">
        <v>1</v>
      </c>
      <c r="DA77" s="18">
        <v>30</v>
      </c>
      <c r="DB77" s="18"/>
      <c r="DC77" s="18">
        <v>14</v>
      </c>
      <c r="DD77" s="18"/>
      <c r="DE77" s="18">
        <v>50</v>
      </c>
      <c r="DF77" s="18">
        <v>50</v>
      </c>
      <c r="DG77" s="10">
        <v>160</v>
      </c>
      <c r="DH77" s="18">
        <v>60</v>
      </c>
      <c r="DI77" s="18">
        <v>70</v>
      </c>
      <c r="DJ77" s="18">
        <v>50</v>
      </c>
      <c r="DK77" s="18"/>
      <c r="DL77" s="18">
        <v>15</v>
      </c>
      <c r="DM77" s="18"/>
      <c r="DN77" s="18">
        <v>10</v>
      </c>
      <c r="DO77" s="18">
        <v>30</v>
      </c>
      <c r="DP77" s="18">
        <v>10</v>
      </c>
      <c r="DQ77" s="18"/>
      <c r="DR77" s="18">
        <v>20</v>
      </c>
      <c r="DS77" s="18">
        <v>60</v>
      </c>
      <c r="DT77" s="18"/>
      <c r="DU77" s="18">
        <v>25</v>
      </c>
      <c r="DV77" s="18"/>
      <c r="DW77" s="18">
        <v>5</v>
      </c>
      <c r="DX77" s="18">
        <v>20</v>
      </c>
      <c r="DY77" s="18">
        <v>30</v>
      </c>
      <c r="DZ77" s="18">
        <v>10</v>
      </c>
      <c r="EA77" s="18">
        <v>10</v>
      </c>
      <c r="EB77" s="18">
        <v>35</v>
      </c>
      <c r="EC77" s="18">
        <v>10</v>
      </c>
      <c r="ED77" s="18">
        <v>10</v>
      </c>
      <c r="EE77" s="18">
        <v>10</v>
      </c>
      <c r="EF77" s="18">
        <v>10</v>
      </c>
      <c r="EG77" s="18">
        <v>13</v>
      </c>
      <c r="EH77" s="18">
        <v>12</v>
      </c>
      <c r="EI77" s="18">
        <v>5</v>
      </c>
      <c r="EJ77" s="18">
        <v>16</v>
      </c>
      <c r="EK77" s="18">
        <v>5</v>
      </c>
      <c r="EL77" s="18">
        <v>20</v>
      </c>
      <c r="EM77" s="18">
        <v>6</v>
      </c>
      <c r="EN77" s="18">
        <v>6</v>
      </c>
      <c r="EO77" s="18">
        <v>15</v>
      </c>
      <c r="EP77" s="18">
        <v>20</v>
      </c>
      <c r="EQ77" s="18">
        <v>20</v>
      </c>
      <c r="ER77" s="18"/>
      <c r="ES77" s="18">
        <v>15</v>
      </c>
      <c r="ET77" s="18">
        <v>20</v>
      </c>
      <c r="EU77" s="18"/>
      <c r="EV77" s="18">
        <v>8</v>
      </c>
      <c r="EW77" s="18">
        <v>30</v>
      </c>
      <c r="EX77" s="18">
        <v>10</v>
      </c>
      <c r="EY77" s="18"/>
      <c r="EZ77" s="18"/>
      <c r="FA77" s="18"/>
      <c r="FB77" s="18">
        <v>20</v>
      </c>
      <c r="FC77" s="18">
        <v>20</v>
      </c>
      <c r="FD77" s="18">
        <v>15</v>
      </c>
      <c r="FE77" s="18">
        <v>30</v>
      </c>
      <c r="FF77" s="18">
        <v>140</v>
      </c>
      <c r="FG77" s="18">
        <v>16</v>
      </c>
      <c r="FH77" s="18"/>
      <c r="FI77" s="18">
        <v>20</v>
      </c>
      <c r="FJ77" s="18"/>
      <c r="FK77" s="18">
        <v>20</v>
      </c>
      <c r="FL77" s="18">
        <v>20</v>
      </c>
      <c r="FM77" s="18">
        <v>10</v>
      </c>
      <c r="FN77" s="18"/>
      <c r="FO77" s="18"/>
      <c r="FP77" s="18">
        <v>10</v>
      </c>
      <c r="FQ77" s="18">
        <v>18</v>
      </c>
      <c r="FR77" s="18">
        <v>9</v>
      </c>
      <c r="FS77" s="18">
        <v>30</v>
      </c>
      <c r="FT77" s="18">
        <v>20</v>
      </c>
      <c r="FU77" s="18">
        <v>15</v>
      </c>
      <c r="FV77" s="18">
        <v>10</v>
      </c>
      <c r="FW77" s="18">
        <v>15</v>
      </c>
      <c r="FX77" s="18"/>
      <c r="FY77" s="18"/>
      <c r="FZ77" s="18">
        <v>15</v>
      </c>
      <c r="GA77" s="18"/>
      <c r="GB77" s="18">
        <v>16</v>
      </c>
      <c r="GC77" s="18"/>
      <c r="GD77" s="18">
        <v>20</v>
      </c>
      <c r="GE77" s="18">
        <v>9</v>
      </c>
      <c r="GF77" s="18">
        <v>15</v>
      </c>
      <c r="GG77" s="18">
        <v>26</v>
      </c>
      <c r="GH77" s="18">
        <v>28</v>
      </c>
      <c r="GI77" s="18"/>
      <c r="GJ77" s="18">
        <v>10</v>
      </c>
      <c r="GK77" s="18">
        <v>11</v>
      </c>
      <c r="GL77" s="18"/>
      <c r="GM77" s="18">
        <v>10</v>
      </c>
      <c r="GN77" s="18"/>
      <c r="GO77" s="18">
        <v>8</v>
      </c>
      <c r="GP77" s="18">
        <v>10</v>
      </c>
      <c r="GQ77" s="18"/>
      <c r="GR77" s="18">
        <v>8</v>
      </c>
      <c r="GS77" s="18">
        <v>8</v>
      </c>
      <c r="GT77" s="18"/>
      <c r="GU77" s="18">
        <v>10</v>
      </c>
      <c r="GV77" s="18">
        <v>4</v>
      </c>
      <c r="GW77" s="18"/>
      <c r="GX77" s="18"/>
      <c r="GY77" s="18">
        <v>13</v>
      </c>
      <c r="GZ77" s="18">
        <v>10</v>
      </c>
      <c r="HA77" s="18">
        <v>16</v>
      </c>
      <c r="HB77" s="18"/>
      <c r="HC77" s="18">
        <v>16</v>
      </c>
      <c r="HD77" s="18">
        <v>16</v>
      </c>
      <c r="HE77" s="18">
        <v>14</v>
      </c>
      <c r="HF77" s="18"/>
      <c r="HG77" s="18">
        <v>23</v>
      </c>
      <c r="HH77" s="18">
        <v>4</v>
      </c>
      <c r="HI77" s="18"/>
      <c r="HJ77" s="18"/>
      <c r="HK77" s="18">
        <v>10</v>
      </c>
      <c r="HL77" s="18">
        <v>25</v>
      </c>
      <c r="HM77" s="18">
        <v>10</v>
      </c>
      <c r="HN77" s="18">
        <v>16</v>
      </c>
      <c r="HO77" s="18">
        <v>10</v>
      </c>
      <c r="HP77" s="18">
        <v>19</v>
      </c>
      <c r="HQ77" s="18">
        <v>25</v>
      </c>
      <c r="HR77" s="18">
        <v>30</v>
      </c>
      <c r="HS77" s="18">
        <v>20</v>
      </c>
      <c r="HT77" s="18"/>
      <c r="HU77" s="18">
        <v>20</v>
      </c>
      <c r="HV77" s="18">
        <v>30</v>
      </c>
      <c r="HW77" s="18">
        <v>20</v>
      </c>
      <c r="HX77" s="18">
        <v>13</v>
      </c>
    </row>
    <row r="78" spans="1:232" ht="12.75">
      <c r="A78" s="2"/>
      <c r="B78" s="8"/>
      <c r="C78" s="4" t="s">
        <v>0</v>
      </c>
      <c r="D78" s="6">
        <f>E78+F78</f>
        <v>1485.5590000000009</v>
      </c>
      <c r="E78" s="6">
        <f t="shared" si="32"/>
        <v>1485.5590000000009</v>
      </c>
      <c r="F78" s="6"/>
      <c r="G78" s="18">
        <v>7.602</v>
      </c>
      <c r="H78" s="18">
        <v>15.201</v>
      </c>
      <c r="I78" s="18">
        <v>7.602</v>
      </c>
      <c r="J78" s="18">
        <v>7.602</v>
      </c>
      <c r="K78" s="18">
        <v>22.802</v>
      </c>
      <c r="L78" s="18">
        <v>3.676</v>
      </c>
      <c r="M78" s="18"/>
      <c r="N78" s="18">
        <v>7.602</v>
      </c>
      <c r="O78" s="18">
        <v>7.351</v>
      </c>
      <c r="P78" s="18">
        <v>7.602</v>
      </c>
      <c r="Q78" s="18">
        <v>15.201</v>
      </c>
      <c r="R78" s="18">
        <v>3.676</v>
      </c>
      <c r="S78" s="18">
        <v>3.676</v>
      </c>
      <c r="T78" s="18">
        <v>14.671</v>
      </c>
      <c r="U78" s="18">
        <v>3.676</v>
      </c>
      <c r="V78" s="18">
        <v>7.351</v>
      </c>
      <c r="W78" s="18">
        <v>3.676</v>
      </c>
      <c r="X78" s="18">
        <v>3.676</v>
      </c>
      <c r="Y78" s="18"/>
      <c r="Z78" s="18">
        <v>7.602</v>
      </c>
      <c r="AA78" s="18">
        <v>9.12</v>
      </c>
      <c r="AB78" s="18">
        <v>6.556</v>
      </c>
      <c r="AC78" s="18"/>
      <c r="AD78" s="18">
        <v>14.155</v>
      </c>
      <c r="AE78" s="18">
        <v>8.662</v>
      </c>
      <c r="AF78" s="18">
        <v>4.561</v>
      </c>
      <c r="AG78" s="18">
        <v>4.561</v>
      </c>
      <c r="AH78" s="18"/>
      <c r="AI78" s="18"/>
      <c r="AJ78" s="18">
        <v>13.078</v>
      </c>
      <c r="AK78" s="18">
        <v>10.213</v>
      </c>
      <c r="AL78" s="18">
        <v>5.868</v>
      </c>
      <c r="AM78" s="18"/>
      <c r="AN78" s="18"/>
      <c r="AO78" s="18">
        <v>3.135</v>
      </c>
      <c r="AP78" s="18">
        <v>0.212</v>
      </c>
      <c r="AQ78" s="18">
        <v>7.602</v>
      </c>
      <c r="AR78" s="18"/>
      <c r="AS78" s="18">
        <v>3.676</v>
      </c>
      <c r="AT78" s="18">
        <v>2.205</v>
      </c>
      <c r="AU78" s="18">
        <v>1.47</v>
      </c>
      <c r="AV78" s="18">
        <v>8.662</v>
      </c>
      <c r="AW78" s="18">
        <v>6.963</v>
      </c>
      <c r="AX78" s="18"/>
      <c r="AY78" s="18"/>
      <c r="AZ78" s="18">
        <v>3.463</v>
      </c>
      <c r="BA78" s="18">
        <f>3.888-0.21</f>
        <v>3.678</v>
      </c>
      <c r="BB78" s="18">
        <v>3.676</v>
      </c>
      <c r="BC78" s="18">
        <v>3.676</v>
      </c>
      <c r="BD78" s="18">
        <v>6.081</v>
      </c>
      <c r="BE78" s="18">
        <v>6.081</v>
      </c>
      <c r="BF78" s="18">
        <v>6.081</v>
      </c>
      <c r="BG78" s="18">
        <v>7.814</v>
      </c>
      <c r="BH78" s="18">
        <v>8.646</v>
      </c>
      <c r="BI78" s="18">
        <v>3.367</v>
      </c>
      <c r="BJ78" s="18"/>
      <c r="BK78" s="18"/>
      <c r="BL78" s="18">
        <v>7.602</v>
      </c>
      <c r="BM78" s="18">
        <v>8.386</v>
      </c>
      <c r="BN78" s="18">
        <v>7.602</v>
      </c>
      <c r="BO78" s="18">
        <v>16.263</v>
      </c>
      <c r="BP78" s="18">
        <v>22.802</v>
      </c>
      <c r="BQ78" s="18">
        <v>30.403</v>
      </c>
      <c r="BR78" s="18">
        <v>11.275</v>
      </c>
      <c r="BS78" s="18">
        <f>7.602-3.23</f>
        <v>4.372</v>
      </c>
      <c r="BT78" s="18">
        <v>11.027</v>
      </c>
      <c r="BU78" s="18">
        <v>7.351</v>
      </c>
      <c r="BV78" s="18"/>
      <c r="BW78" s="18">
        <f>3.676+0.08</f>
        <v>3.7560000000000002</v>
      </c>
      <c r="BX78" s="18">
        <v>4.197</v>
      </c>
      <c r="BY78" s="18"/>
      <c r="BZ78" s="18">
        <v>5.88</v>
      </c>
      <c r="CA78" s="18">
        <v>11.027</v>
      </c>
      <c r="CB78" s="18">
        <v>7.351</v>
      </c>
      <c r="CC78" s="18">
        <v>7.602</v>
      </c>
      <c r="CD78" s="18">
        <v>7.602</v>
      </c>
      <c r="CE78" s="18"/>
      <c r="CF78" s="18">
        <v>7.602</v>
      </c>
      <c r="CG78" s="18">
        <v>7.602</v>
      </c>
      <c r="CH78" s="18"/>
      <c r="CI78" s="18">
        <v>12.16</v>
      </c>
      <c r="CJ78" s="18"/>
      <c r="CK78" s="18">
        <v>7.351</v>
      </c>
      <c r="CL78" s="18"/>
      <c r="CM78" s="18"/>
      <c r="CN78" s="18">
        <v>0.735</v>
      </c>
      <c r="CO78" s="18">
        <v>0.948</v>
      </c>
      <c r="CP78" s="18"/>
      <c r="CQ78" s="18"/>
      <c r="CR78" s="18"/>
      <c r="CS78" s="18">
        <v>1.47</v>
      </c>
      <c r="CT78" s="18"/>
      <c r="CU78" s="18">
        <v>8.026</v>
      </c>
      <c r="CV78" s="10">
        <v>1.47</v>
      </c>
      <c r="CW78" s="18">
        <v>7.775</v>
      </c>
      <c r="CX78" s="18"/>
      <c r="CY78" s="18">
        <v>6.305</v>
      </c>
      <c r="CZ78" s="18">
        <v>0.13</v>
      </c>
      <c r="DA78" s="18">
        <v>11.027</v>
      </c>
      <c r="DB78" s="18"/>
      <c r="DC78" s="18">
        <v>5.147</v>
      </c>
      <c r="DD78" s="18"/>
      <c r="DE78" s="18">
        <v>18.377</v>
      </c>
      <c r="DF78" s="18">
        <v>18.377</v>
      </c>
      <c r="DG78" s="10">
        <v>87.438</v>
      </c>
      <c r="DH78" s="18">
        <v>30.403</v>
      </c>
      <c r="DI78" s="18">
        <v>35.63</v>
      </c>
      <c r="DJ78" s="18">
        <v>28.279</v>
      </c>
      <c r="DK78" s="18"/>
      <c r="DL78" s="18">
        <v>4.738</v>
      </c>
      <c r="DM78" s="18"/>
      <c r="DN78" s="18">
        <v>5.035</v>
      </c>
      <c r="DO78" s="18">
        <v>11.027</v>
      </c>
      <c r="DP78" s="18">
        <v>3.676</v>
      </c>
      <c r="DQ78" s="18"/>
      <c r="DR78" s="18">
        <v>7.351</v>
      </c>
      <c r="DS78" s="18">
        <v>30.403</v>
      </c>
      <c r="DT78" s="18"/>
      <c r="DU78" s="18">
        <v>11.517</v>
      </c>
      <c r="DV78" s="18"/>
      <c r="DW78" s="18">
        <v>1.062</v>
      </c>
      <c r="DX78" s="18">
        <v>4.247</v>
      </c>
      <c r="DY78" s="18">
        <v>15.681</v>
      </c>
      <c r="DZ78" s="18">
        <v>5.227</v>
      </c>
      <c r="EA78" s="18">
        <v>5.227</v>
      </c>
      <c r="EB78" s="18">
        <v>16.502</v>
      </c>
      <c r="EC78" s="18">
        <v>5.227</v>
      </c>
      <c r="ED78" s="18">
        <v>5.227</v>
      </c>
      <c r="EE78" s="18">
        <v>5.227</v>
      </c>
      <c r="EF78" s="18">
        <v>3.676</v>
      </c>
      <c r="EG78" s="18">
        <v>4.313</v>
      </c>
      <c r="EH78" s="18">
        <v>6.081</v>
      </c>
      <c r="EI78" s="18">
        <v>2.517</v>
      </c>
      <c r="EJ78" s="18">
        <v>6.502</v>
      </c>
      <c r="EK78" s="18">
        <v>2.255</v>
      </c>
      <c r="EL78" s="18">
        <v>7.351</v>
      </c>
      <c r="EM78" s="18">
        <v>1.895</v>
      </c>
      <c r="EN78" s="18">
        <v>3.04</v>
      </c>
      <c r="EO78" s="18">
        <v>7.602</v>
      </c>
      <c r="EP78" s="18">
        <v>7.351</v>
      </c>
      <c r="EQ78" s="18">
        <v>7.351</v>
      </c>
      <c r="ER78" s="18"/>
      <c r="ES78" s="18">
        <v>7.602</v>
      </c>
      <c r="ET78" s="18">
        <v>7.351</v>
      </c>
      <c r="EU78" s="18"/>
      <c r="EV78" s="18">
        <v>2.942</v>
      </c>
      <c r="EW78" s="18">
        <v>11.027</v>
      </c>
      <c r="EX78" s="18">
        <v>3.676</v>
      </c>
      <c r="EY78" s="18"/>
      <c r="EZ78" s="18"/>
      <c r="FA78" s="18"/>
      <c r="FB78" s="18">
        <f>7.351+0.6</f>
        <v>7.951</v>
      </c>
      <c r="FC78" s="18">
        <v>7.351</v>
      </c>
      <c r="FD78" s="18">
        <v>4.738</v>
      </c>
      <c r="FE78" s="18">
        <v>11.027</v>
      </c>
      <c r="FF78" s="18">
        <v>82.68</v>
      </c>
      <c r="FG78" s="18">
        <v>5.88</v>
      </c>
      <c r="FH78" s="18"/>
      <c r="FI78" s="18">
        <v>7.351</v>
      </c>
      <c r="FJ78" s="18"/>
      <c r="FK78" s="18">
        <v>10.455</v>
      </c>
      <c r="FL78" s="18">
        <v>7.351</v>
      </c>
      <c r="FM78" s="18">
        <v>3.676</v>
      </c>
      <c r="FN78" s="18"/>
      <c r="FO78" s="18"/>
      <c r="FP78" s="18">
        <v>3.979</v>
      </c>
      <c r="FQ78" s="18">
        <v>9.12</v>
      </c>
      <c r="FR78" s="18">
        <v>4.561</v>
      </c>
      <c r="FS78" s="18">
        <v>11.027</v>
      </c>
      <c r="FT78" s="18">
        <v>10.213</v>
      </c>
      <c r="FU78" s="18">
        <v>7.602</v>
      </c>
      <c r="FV78" s="18">
        <v>3.676</v>
      </c>
      <c r="FW78" s="18">
        <v>7.602</v>
      </c>
      <c r="FX78" s="18"/>
      <c r="FY78" s="18"/>
      <c r="FZ78" s="18">
        <v>7.602</v>
      </c>
      <c r="GA78" s="18"/>
      <c r="GB78" s="18">
        <v>8.386</v>
      </c>
      <c r="GC78" s="18"/>
      <c r="GD78" s="18">
        <f>7.351+0.89</f>
        <v>8.241</v>
      </c>
      <c r="GE78" s="18">
        <v>4.561</v>
      </c>
      <c r="GF78" s="18">
        <v>7.602</v>
      </c>
      <c r="GG78" s="18">
        <v>12.585</v>
      </c>
      <c r="GH78" s="18">
        <v>14.776</v>
      </c>
      <c r="GI78" s="18"/>
      <c r="GJ78" s="18">
        <f>3.676+0.15</f>
        <v>3.826</v>
      </c>
      <c r="GK78" s="18">
        <v>3.888</v>
      </c>
      <c r="GL78" s="18"/>
      <c r="GM78" s="18">
        <v>2.124</v>
      </c>
      <c r="GN78" s="18"/>
      <c r="GO78" s="18">
        <v>3.464</v>
      </c>
      <c r="GP78" s="18">
        <v>3.676</v>
      </c>
      <c r="GQ78" s="18"/>
      <c r="GR78" s="18">
        <v>5.756</v>
      </c>
      <c r="GS78" s="18">
        <v>5.756</v>
      </c>
      <c r="GT78" s="18"/>
      <c r="GU78" s="18">
        <v>3.676</v>
      </c>
      <c r="GV78" s="18">
        <v>1.47</v>
      </c>
      <c r="GW78" s="18"/>
      <c r="GX78" s="18"/>
      <c r="GY78" s="18">
        <v>6.865</v>
      </c>
      <c r="GZ78" s="18">
        <v>3.676</v>
      </c>
      <c r="HA78" s="18">
        <v>7.814</v>
      </c>
      <c r="HB78" s="18"/>
      <c r="HC78" s="18">
        <v>7.814</v>
      </c>
      <c r="HD78" s="18">
        <v>5.88</v>
      </c>
      <c r="HE78" s="18">
        <v>7.35</v>
      </c>
      <c r="HF78" s="18"/>
      <c r="HG78" s="18">
        <v>11.638</v>
      </c>
      <c r="HH78" s="18">
        <v>1.47</v>
      </c>
      <c r="HI78" s="18"/>
      <c r="HJ78" s="18"/>
      <c r="HK78" s="18">
        <v>3.676</v>
      </c>
      <c r="HL78" s="18">
        <f>8.412+7.34</f>
        <v>15.752</v>
      </c>
      <c r="HM78" s="18">
        <v>3.676</v>
      </c>
      <c r="HN78" s="18">
        <v>7.814</v>
      </c>
      <c r="HO78" s="18">
        <v>3.676</v>
      </c>
      <c r="HP78" s="18">
        <v>9.595</v>
      </c>
      <c r="HQ78" s="18">
        <v>9.965</v>
      </c>
      <c r="HR78" s="18">
        <v>15.201</v>
      </c>
      <c r="HS78" s="18">
        <v>7.351</v>
      </c>
      <c r="HT78" s="18"/>
      <c r="HU78" s="18">
        <v>7.351</v>
      </c>
      <c r="HV78" s="18">
        <v>15.201</v>
      </c>
      <c r="HW78" s="18">
        <v>7.351</v>
      </c>
      <c r="HX78" s="18">
        <v>8.651</v>
      </c>
    </row>
    <row r="79" spans="1:232" ht="12.75">
      <c r="A79" s="12" t="s">
        <v>20</v>
      </c>
      <c r="B79" s="3" t="s">
        <v>19</v>
      </c>
      <c r="C79" s="4" t="s">
        <v>0</v>
      </c>
      <c r="D79" s="31">
        <f>D81+D83+D85</f>
        <v>7835.400999999994</v>
      </c>
      <c r="E79" s="31">
        <f aca="true" t="shared" si="33" ref="E79:BQ79">E81+E83+E85</f>
        <v>7835.400999999994</v>
      </c>
      <c r="F79" s="31">
        <f t="shared" si="33"/>
        <v>0</v>
      </c>
      <c r="G79" s="31">
        <f t="shared" si="33"/>
        <v>0.67</v>
      </c>
      <c r="H79" s="31">
        <f t="shared" si="33"/>
        <v>32.366</v>
      </c>
      <c r="I79" s="31">
        <f t="shared" si="33"/>
        <v>33.337</v>
      </c>
      <c r="J79" s="31">
        <f t="shared" si="33"/>
        <v>31.546</v>
      </c>
      <c r="K79" s="31">
        <f t="shared" si="33"/>
        <v>4.098</v>
      </c>
      <c r="L79" s="31">
        <f t="shared" si="33"/>
        <v>79.381</v>
      </c>
      <c r="M79" s="31">
        <f t="shared" si="33"/>
        <v>0</v>
      </c>
      <c r="N79" s="31">
        <f t="shared" si="33"/>
        <v>29.214000000000002</v>
      </c>
      <c r="O79" s="31">
        <f t="shared" si="33"/>
        <v>56.379999999999995</v>
      </c>
      <c r="P79" s="31">
        <f t="shared" si="33"/>
        <v>111.119</v>
      </c>
      <c r="Q79" s="31">
        <f t="shared" si="33"/>
        <v>31.736</v>
      </c>
      <c r="R79" s="31">
        <f t="shared" si="33"/>
        <v>29.279</v>
      </c>
      <c r="S79" s="31">
        <f t="shared" si="33"/>
        <v>29.688</v>
      </c>
      <c r="T79" s="31">
        <f t="shared" si="33"/>
        <v>0</v>
      </c>
      <c r="U79" s="31">
        <f t="shared" si="33"/>
        <v>62.244</v>
      </c>
      <c r="V79" s="31">
        <f t="shared" si="33"/>
        <v>62.653</v>
      </c>
      <c r="W79" s="31">
        <f t="shared" si="33"/>
        <v>0.411</v>
      </c>
      <c r="X79" s="31">
        <f t="shared" si="33"/>
        <v>28.394000000000002</v>
      </c>
      <c r="Y79" s="31">
        <f t="shared" si="33"/>
        <v>0</v>
      </c>
      <c r="Z79" s="31">
        <f t="shared" si="33"/>
        <v>27.985000000000003</v>
      </c>
      <c r="AA79" s="31">
        <f t="shared" si="33"/>
        <v>32.479</v>
      </c>
      <c r="AB79" s="31">
        <f t="shared" si="33"/>
        <v>29.508</v>
      </c>
      <c r="AC79" s="31">
        <f t="shared" si="33"/>
        <v>0</v>
      </c>
      <c r="AD79" s="31">
        <f t="shared" si="33"/>
        <v>29.642</v>
      </c>
      <c r="AE79" s="31">
        <f t="shared" si="33"/>
        <v>33.092</v>
      </c>
      <c r="AF79" s="31">
        <f t="shared" si="33"/>
        <v>18.998</v>
      </c>
      <c r="AG79" s="31">
        <f t="shared" si="33"/>
        <v>28.394000000000002</v>
      </c>
      <c r="AH79" s="31">
        <f t="shared" si="33"/>
        <v>59.408</v>
      </c>
      <c r="AI79" s="31">
        <f t="shared" si="33"/>
        <v>0</v>
      </c>
      <c r="AJ79" s="31">
        <f t="shared" si="33"/>
        <v>27.985000000000003</v>
      </c>
      <c r="AK79" s="31">
        <f t="shared" si="33"/>
        <v>28.543</v>
      </c>
      <c r="AL79" s="31">
        <f t="shared" si="33"/>
        <v>48.615</v>
      </c>
      <c r="AM79" s="31">
        <f t="shared" si="33"/>
        <v>23.49</v>
      </c>
      <c r="AN79" s="31">
        <f t="shared" si="33"/>
        <v>0</v>
      </c>
      <c r="AO79" s="31">
        <f t="shared" si="33"/>
        <v>15.93</v>
      </c>
      <c r="AP79" s="31">
        <f t="shared" si="33"/>
        <v>0.411</v>
      </c>
      <c r="AQ79" s="31">
        <f t="shared" si="33"/>
        <v>30.429000000000002</v>
      </c>
      <c r="AR79" s="31">
        <f t="shared" si="33"/>
        <v>0</v>
      </c>
      <c r="AS79" s="31">
        <f t="shared" si="33"/>
        <v>23.49</v>
      </c>
      <c r="AT79" s="31">
        <f t="shared" si="33"/>
        <v>35</v>
      </c>
      <c r="AU79" s="31">
        <f t="shared" si="33"/>
        <v>34.888</v>
      </c>
      <c r="AV79" s="31">
        <f t="shared" si="33"/>
        <v>62.272</v>
      </c>
      <c r="AW79" s="31">
        <f t="shared" si="33"/>
        <v>55.97</v>
      </c>
      <c r="AX79" s="31">
        <f t="shared" si="33"/>
        <v>0</v>
      </c>
      <c r="AY79" s="31">
        <f t="shared" si="33"/>
        <v>0</v>
      </c>
      <c r="AZ79" s="31">
        <f t="shared" si="33"/>
        <v>64.956</v>
      </c>
      <c r="BA79" s="31">
        <f t="shared" si="33"/>
        <v>0</v>
      </c>
      <c r="BB79" s="31">
        <f t="shared" si="33"/>
        <v>55.468</v>
      </c>
      <c r="BC79" s="31">
        <f t="shared" si="33"/>
        <v>112.759</v>
      </c>
      <c r="BD79" s="31">
        <f t="shared" si="33"/>
        <v>21.577</v>
      </c>
      <c r="BE79" s="31">
        <f t="shared" si="33"/>
        <v>16.898000000000003</v>
      </c>
      <c r="BF79" s="31">
        <f t="shared" si="33"/>
        <v>14.420000000000002</v>
      </c>
      <c r="BG79" s="31">
        <f t="shared" si="33"/>
        <v>30.157</v>
      </c>
      <c r="BH79" s="31">
        <f t="shared" si="33"/>
        <v>38.473</v>
      </c>
      <c r="BI79" s="31">
        <f t="shared" si="33"/>
        <v>9.644000000000002</v>
      </c>
      <c r="BJ79" s="31">
        <f t="shared" si="33"/>
        <v>0</v>
      </c>
      <c r="BK79" s="31">
        <f t="shared" si="33"/>
        <v>0</v>
      </c>
      <c r="BL79" s="31">
        <f t="shared" si="33"/>
        <v>10.836000000000002</v>
      </c>
      <c r="BM79" s="31">
        <f t="shared" si="33"/>
        <v>31.546</v>
      </c>
      <c r="BN79" s="31">
        <f t="shared" si="33"/>
        <v>0.647</v>
      </c>
      <c r="BO79" s="31">
        <f t="shared" si="33"/>
        <v>82.577</v>
      </c>
      <c r="BP79" s="31">
        <f t="shared" si="33"/>
        <v>0</v>
      </c>
      <c r="BQ79" s="31">
        <f t="shared" si="33"/>
        <v>1.39</v>
      </c>
      <c r="BR79" s="31">
        <f aca="true" t="shared" si="34" ref="BR79:EC79">BR81+BR83+BR85</f>
        <v>38.038000000000004</v>
      </c>
      <c r="BS79" s="31">
        <f t="shared" si="34"/>
        <v>0</v>
      </c>
      <c r="BT79" s="31">
        <f t="shared" si="34"/>
        <v>62.653</v>
      </c>
      <c r="BU79" s="31">
        <f t="shared" si="34"/>
        <v>97.159</v>
      </c>
      <c r="BV79" s="31">
        <f t="shared" si="34"/>
        <v>1.3639999999999994</v>
      </c>
      <c r="BW79" s="31">
        <f t="shared" si="34"/>
        <v>0</v>
      </c>
      <c r="BX79" s="31">
        <f t="shared" si="34"/>
        <v>5.643</v>
      </c>
      <c r="BY79" s="31">
        <f t="shared" si="34"/>
        <v>0</v>
      </c>
      <c r="BZ79" s="31">
        <f t="shared" si="34"/>
        <v>30.726</v>
      </c>
      <c r="CA79" s="31">
        <f t="shared" si="34"/>
        <v>56.79</v>
      </c>
      <c r="CB79" s="31">
        <f t="shared" si="34"/>
        <v>28.394000000000002</v>
      </c>
      <c r="CC79" s="31">
        <f t="shared" si="34"/>
        <v>31.736</v>
      </c>
      <c r="CD79" s="31">
        <f t="shared" si="34"/>
        <v>38.038000000000004</v>
      </c>
      <c r="CE79" s="31">
        <f t="shared" si="34"/>
        <v>0</v>
      </c>
      <c r="CF79" s="31">
        <f t="shared" si="34"/>
        <v>39.014</v>
      </c>
      <c r="CG79" s="31">
        <f t="shared" si="34"/>
        <v>58.284</v>
      </c>
      <c r="CH79" s="31">
        <f t="shared" si="34"/>
        <v>0</v>
      </c>
      <c r="CI79" s="31">
        <f t="shared" si="34"/>
        <v>63.473</v>
      </c>
      <c r="CJ79" s="31">
        <f t="shared" si="34"/>
        <v>0</v>
      </c>
      <c r="CK79" s="31">
        <f t="shared" si="34"/>
        <v>55.97</v>
      </c>
      <c r="CL79" s="31">
        <f t="shared" si="34"/>
        <v>0</v>
      </c>
      <c r="CM79" s="31">
        <f t="shared" si="34"/>
        <v>0</v>
      </c>
      <c r="CN79" s="31">
        <f t="shared" si="34"/>
        <v>67.714</v>
      </c>
      <c r="CO79" s="31">
        <f t="shared" si="34"/>
        <v>64.782</v>
      </c>
      <c r="CP79" s="31">
        <f t="shared" si="34"/>
        <v>3.454</v>
      </c>
      <c r="CQ79" s="31">
        <f t="shared" si="34"/>
        <v>0</v>
      </c>
      <c r="CR79" s="31">
        <f t="shared" si="34"/>
        <v>0</v>
      </c>
      <c r="CS79" s="31">
        <f t="shared" si="34"/>
        <v>38.858000000000004</v>
      </c>
      <c r="CT79" s="31">
        <f t="shared" si="34"/>
        <v>0</v>
      </c>
      <c r="CU79" s="31">
        <f t="shared" si="34"/>
        <v>17.298000000000002</v>
      </c>
      <c r="CV79" s="31">
        <f t="shared" si="34"/>
        <v>47.996</v>
      </c>
      <c r="CW79" s="31">
        <f t="shared" si="34"/>
        <v>27.375</v>
      </c>
      <c r="CX79" s="31">
        <f t="shared" si="34"/>
        <v>0</v>
      </c>
      <c r="CY79" s="31">
        <f t="shared" si="34"/>
        <v>50.623</v>
      </c>
      <c r="CZ79" s="31">
        <f t="shared" si="34"/>
        <v>6.684</v>
      </c>
      <c r="DA79" s="31">
        <f t="shared" si="34"/>
        <v>111.119</v>
      </c>
      <c r="DB79" s="31">
        <f t="shared" si="34"/>
        <v>0</v>
      </c>
      <c r="DC79" s="31">
        <f t="shared" si="34"/>
        <v>7.895</v>
      </c>
      <c r="DD79" s="31">
        <f t="shared" si="34"/>
        <v>0</v>
      </c>
      <c r="DE79" s="31">
        <f t="shared" si="34"/>
        <v>63.473</v>
      </c>
      <c r="DF79" s="31">
        <f t="shared" si="34"/>
        <v>53.448</v>
      </c>
      <c r="DG79" s="31">
        <f t="shared" si="34"/>
        <v>130.35999999999999</v>
      </c>
      <c r="DH79" s="31">
        <f t="shared" si="34"/>
        <v>178.413</v>
      </c>
      <c r="DI79" s="31">
        <f t="shared" si="34"/>
        <v>178.413</v>
      </c>
      <c r="DJ79" s="31">
        <f t="shared" si="34"/>
        <v>66.25</v>
      </c>
      <c r="DK79" s="31">
        <f t="shared" si="34"/>
        <v>0</v>
      </c>
      <c r="DL79" s="31">
        <f t="shared" si="34"/>
        <v>0</v>
      </c>
      <c r="DM79" s="31">
        <f t="shared" si="34"/>
        <v>0</v>
      </c>
      <c r="DN79" s="31">
        <f t="shared" si="34"/>
        <v>63.062999999999995</v>
      </c>
      <c r="DO79" s="31">
        <f t="shared" si="34"/>
        <v>63.473</v>
      </c>
      <c r="DP79" s="31">
        <f t="shared" si="34"/>
        <v>55.97</v>
      </c>
      <c r="DQ79" s="31">
        <f t="shared" si="34"/>
        <v>0</v>
      </c>
      <c r="DR79" s="31">
        <f t="shared" si="34"/>
        <v>31.736</v>
      </c>
      <c r="DS79" s="31">
        <f t="shared" si="34"/>
        <v>111.93900000000001</v>
      </c>
      <c r="DT79" s="31">
        <f t="shared" si="34"/>
        <v>0</v>
      </c>
      <c r="DU79" s="31">
        <f t="shared" si="34"/>
        <v>128.154</v>
      </c>
      <c r="DV79" s="31">
        <f t="shared" si="34"/>
        <v>39.028999999999996</v>
      </c>
      <c r="DW79" s="31">
        <f t="shared" si="34"/>
        <v>0</v>
      </c>
      <c r="DX79" s="31">
        <f t="shared" si="34"/>
        <v>435.891</v>
      </c>
      <c r="DY79" s="31">
        <f t="shared" si="34"/>
        <v>73.882</v>
      </c>
      <c r="DZ79" s="31">
        <f t="shared" si="34"/>
        <v>49.254</v>
      </c>
      <c r="EA79" s="31">
        <f t="shared" si="34"/>
        <v>49.254</v>
      </c>
      <c r="EB79" s="31">
        <f t="shared" si="34"/>
        <v>24.626</v>
      </c>
      <c r="EC79" s="31">
        <f t="shared" si="34"/>
        <v>110.646</v>
      </c>
      <c r="ED79" s="31">
        <f aca="true" t="shared" si="35" ref="ED79:GO79">ED81+ED83+ED85</f>
        <v>64.693</v>
      </c>
      <c r="EE79" s="31">
        <f t="shared" si="35"/>
        <v>63.473</v>
      </c>
      <c r="EF79" s="31">
        <f t="shared" si="35"/>
        <v>29.73</v>
      </c>
      <c r="EG79" s="31">
        <f t="shared" si="35"/>
        <v>67.727</v>
      </c>
      <c r="EH79" s="31">
        <f t="shared" si="35"/>
        <v>0</v>
      </c>
      <c r="EI79" s="31">
        <f t="shared" si="35"/>
        <v>51.329</v>
      </c>
      <c r="EJ79" s="31">
        <f t="shared" si="35"/>
        <v>6.744</v>
      </c>
      <c r="EK79" s="31">
        <f t="shared" si="35"/>
        <v>57.455</v>
      </c>
      <c r="EL79" s="31">
        <f t="shared" si="35"/>
        <v>62.136</v>
      </c>
      <c r="EM79" s="31">
        <f t="shared" si="35"/>
        <v>66.842</v>
      </c>
      <c r="EN79" s="31">
        <f t="shared" si="35"/>
        <v>28.469</v>
      </c>
      <c r="EO79" s="31">
        <f t="shared" si="35"/>
        <v>66.243</v>
      </c>
      <c r="EP79" s="31">
        <f t="shared" si="35"/>
        <v>56.369</v>
      </c>
      <c r="EQ79" s="31">
        <f t="shared" si="35"/>
        <v>1.64</v>
      </c>
      <c r="ER79" s="31">
        <f t="shared" si="35"/>
        <v>0</v>
      </c>
      <c r="ES79" s="31">
        <f t="shared" si="35"/>
        <v>134.95899999999997</v>
      </c>
      <c r="ET79" s="31">
        <f t="shared" si="35"/>
        <v>70.035</v>
      </c>
      <c r="EU79" s="31">
        <f t="shared" si="35"/>
        <v>2.0700000000000003</v>
      </c>
      <c r="EV79" s="31">
        <f t="shared" si="35"/>
        <v>28.394000000000002</v>
      </c>
      <c r="EW79" s="31">
        <f t="shared" si="35"/>
        <v>69.774</v>
      </c>
      <c r="EX79" s="31">
        <f t="shared" si="35"/>
        <v>0</v>
      </c>
      <c r="EY79" s="31">
        <f t="shared" si="35"/>
        <v>0</v>
      </c>
      <c r="EZ79" s="31">
        <f t="shared" si="35"/>
        <v>0</v>
      </c>
      <c r="FA79" s="31">
        <f t="shared" si="35"/>
        <v>7.789999999999999</v>
      </c>
      <c r="FB79" s="31">
        <f t="shared" si="35"/>
        <v>32.556</v>
      </c>
      <c r="FC79" s="31">
        <f t="shared" si="35"/>
        <v>30.916</v>
      </c>
      <c r="FD79" s="31">
        <f t="shared" si="35"/>
        <v>17.146</v>
      </c>
      <c r="FE79" s="31">
        <f t="shared" si="35"/>
        <v>63.473</v>
      </c>
      <c r="FF79" s="31">
        <f t="shared" si="35"/>
        <v>142.795</v>
      </c>
      <c r="FG79" s="31">
        <f t="shared" si="35"/>
        <v>28.394000000000002</v>
      </c>
      <c r="FH79" s="31">
        <f t="shared" si="35"/>
        <v>0</v>
      </c>
      <c r="FI79" s="31">
        <f t="shared" si="35"/>
        <v>63.473</v>
      </c>
      <c r="FJ79" s="31">
        <f t="shared" si="35"/>
        <v>0</v>
      </c>
      <c r="FK79" s="31">
        <f t="shared" si="35"/>
        <v>65.533</v>
      </c>
      <c r="FL79" s="31">
        <f t="shared" si="35"/>
        <v>28.394000000000002</v>
      </c>
      <c r="FM79" s="31">
        <f t="shared" si="35"/>
        <v>22.094</v>
      </c>
      <c r="FN79" s="31">
        <f t="shared" si="35"/>
        <v>0</v>
      </c>
      <c r="FO79" s="31">
        <f t="shared" si="35"/>
        <v>0</v>
      </c>
      <c r="FP79" s="31">
        <f t="shared" si="35"/>
        <v>65.533</v>
      </c>
      <c r="FQ79" s="31">
        <f t="shared" si="35"/>
        <v>35.82</v>
      </c>
      <c r="FR79" s="31">
        <f t="shared" si="35"/>
        <v>17.924</v>
      </c>
      <c r="FS79" s="31">
        <f t="shared" si="35"/>
        <v>63.062999999999995</v>
      </c>
      <c r="FT79" s="31">
        <f t="shared" si="35"/>
        <v>28.084</v>
      </c>
      <c r="FU79" s="31">
        <f t="shared" si="35"/>
        <v>32.07</v>
      </c>
      <c r="FV79" s="31">
        <f t="shared" si="35"/>
        <v>32.187</v>
      </c>
      <c r="FW79" s="31">
        <f t="shared" si="35"/>
        <v>27.985000000000003</v>
      </c>
      <c r="FX79" s="31">
        <f t="shared" si="35"/>
        <v>0</v>
      </c>
      <c r="FY79" s="31">
        <f t="shared" si="35"/>
        <v>0</v>
      </c>
      <c r="FZ79" s="31"/>
      <c r="GA79" s="31">
        <f t="shared" si="35"/>
        <v>0</v>
      </c>
      <c r="GB79" s="31">
        <f t="shared" si="35"/>
        <v>36.64</v>
      </c>
      <c r="GC79" s="31">
        <f t="shared" si="35"/>
        <v>0</v>
      </c>
      <c r="GD79" s="31">
        <f t="shared" si="35"/>
        <v>0</v>
      </c>
      <c r="GE79" s="31">
        <f t="shared" si="35"/>
        <v>23.645</v>
      </c>
      <c r="GF79" s="31">
        <f t="shared" si="35"/>
        <v>26.389</v>
      </c>
      <c r="GG79" s="31">
        <f t="shared" si="35"/>
        <v>26.833</v>
      </c>
      <c r="GH79" s="31">
        <f t="shared" si="35"/>
        <v>30.175</v>
      </c>
      <c r="GI79" s="31">
        <f t="shared" si="35"/>
        <v>0</v>
      </c>
      <c r="GJ79" s="31">
        <f t="shared" si="35"/>
        <v>27.574</v>
      </c>
      <c r="GK79" s="31">
        <f t="shared" si="35"/>
        <v>29.136</v>
      </c>
      <c r="GL79" s="31">
        <f t="shared" si="35"/>
        <v>0</v>
      </c>
      <c r="GM79" s="31">
        <f t="shared" si="35"/>
        <v>30.916</v>
      </c>
      <c r="GN79" s="31">
        <f t="shared" si="35"/>
        <v>0</v>
      </c>
      <c r="GO79" s="31">
        <f t="shared" si="35"/>
        <v>27.985000000000003</v>
      </c>
      <c r="GP79" s="31">
        <f aca="true" t="shared" si="36" ref="GP79:HX79">GP81+GP83+GP85</f>
        <v>23.49</v>
      </c>
      <c r="GQ79" s="31">
        <f t="shared" si="36"/>
        <v>0</v>
      </c>
      <c r="GR79" s="31">
        <f t="shared" si="36"/>
        <v>27.574</v>
      </c>
      <c r="GS79" s="31">
        <f t="shared" si="36"/>
        <v>27.574</v>
      </c>
      <c r="GT79" s="31">
        <f t="shared" si="36"/>
        <v>1.3540000000000028</v>
      </c>
      <c r="GU79" s="31">
        <f t="shared" si="36"/>
        <v>63.473</v>
      </c>
      <c r="GV79" s="31">
        <f t="shared" si="36"/>
        <v>26.024</v>
      </c>
      <c r="GW79" s="31">
        <f t="shared" si="36"/>
        <v>0</v>
      </c>
      <c r="GX79" s="31">
        <f t="shared" si="36"/>
        <v>0</v>
      </c>
      <c r="GY79" s="31">
        <f t="shared" si="36"/>
        <v>15.618</v>
      </c>
      <c r="GZ79" s="31">
        <f t="shared" si="36"/>
        <v>36.703</v>
      </c>
      <c r="HA79" s="31">
        <f t="shared" si="36"/>
        <v>27.985000000000003</v>
      </c>
      <c r="HB79" s="31">
        <f t="shared" si="36"/>
        <v>0</v>
      </c>
      <c r="HC79" s="31">
        <f t="shared" si="36"/>
        <v>27.304000000000002</v>
      </c>
      <c r="HD79" s="31">
        <f t="shared" si="36"/>
        <v>46.982</v>
      </c>
      <c r="HE79" s="31">
        <f t="shared" si="36"/>
        <v>61.343</v>
      </c>
      <c r="HF79" s="31">
        <f t="shared" si="36"/>
        <v>0</v>
      </c>
      <c r="HG79" s="31">
        <f t="shared" si="36"/>
        <v>59.311</v>
      </c>
      <c r="HH79" s="31">
        <f t="shared" si="36"/>
        <v>3.0599999999999996</v>
      </c>
      <c r="HI79" s="31">
        <f t="shared" si="36"/>
        <v>0</v>
      </c>
      <c r="HJ79" s="31">
        <f t="shared" si="36"/>
        <v>0</v>
      </c>
      <c r="HK79" s="31">
        <f t="shared" si="36"/>
        <v>118.623</v>
      </c>
      <c r="HL79" s="31">
        <f t="shared" si="36"/>
        <v>68.954</v>
      </c>
      <c r="HM79" s="31">
        <f t="shared" si="36"/>
        <v>31.659</v>
      </c>
      <c r="HN79" s="31">
        <f t="shared" si="36"/>
        <v>30.429000000000002</v>
      </c>
      <c r="HO79" s="31">
        <f t="shared" si="36"/>
        <v>32.479</v>
      </c>
      <c r="HP79" s="31">
        <f t="shared" si="36"/>
        <v>29.136</v>
      </c>
      <c r="HQ79" s="31">
        <f t="shared" si="36"/>
        <v>62.653</v>
      </c>
      <c r="HR79" s="31">
        <f t="shared" si="36"/>
        <v>55.97</v>
      </c>
      <c r="HS79" s="31">
        <f t="shared" si="36"/>
        <v>33.299</v>
      </c>
      <c r="HT79" s="31">
        <f t="shared" si="36"/>
        <v>64.546</v>
      </c>
      <c r="HU79" s="31">
        <f t="shared" si="36"/>
        <v>63.473</v>
      </c>
      <c r="HV79" s="31">
        <f t="shared" si="36"/>
        <v>24.369</v>
      </c>
      <c r="HW79" s="31">
        <f t="shared" si="36"/>
        <v>27.574</v>
      </c>
      <c r="HX79" s="31">
        <f t="shared" si="36"/>
        <v>33.09</v>
      </c>
    </row>
    <row r="80" spans="1:232" ht="12.75">
      <c r="A80" s="12">
        <v>25</v>
      </c>
      <c r="B80" s="5" t="s">
        <v>327</v>
      </c>
      <c r="C80" s="4" t="s">
        <v>24</v>
      </c>
      <c r="D80" s="18">
        <f aca="true" t="shared" si="37" ref="D80:D85">E80+F80</f>
        <v>2.4239999999999973</v>
      </c>
      <c r="E80" s="18">
        <f aca="true" t="shared" si="38" ref="E80:E85">SUM(G80:HX80)</f>
        <v>2.4239999999999973</v>
      </c>
      <c r="F80" s="18"/>
      <c r="G80" s="18"/>
      <c r="H80" s="18">
        <v>0.02</v>
      </c>
      <c r="I80" s="18">
        <v>0.01</v>
      </c>
      <c r="J80" s="18">
        <v>0.01</v>
      </c>
      <c r="K80" s="18"/>
      <c r="L80" s="18"/>
      <c r="M80" s="18"/>
      <c r="N80" s="18">
        <v>0.02</v>
      </c>
      <c r="O80" s="18">
        <v>0.015</v>
      </c>
      <c r="P80" s="18">
        <v>0.01</v>
      </c>
      <c r="Q80" s="18">
        <v>0.01</v>
      </c>
      <c r="R80" s="18">
        <v>0.005</v>
      </c>
      <c r="S80" s="18">
        <v>0.01</v>
      </c>
      <c r="T80" s="18"/>
      <c r="U80" s="18">
        <v>0.005</v>
      </c>
      <c r="V80" s="18">
        <v>0.01</v>
      </c>
      <c r="W80" s="18">
        <v>0.005</v>
      </c>
      <c r="X80" s="18">
        <v>0.01</v>
      </c>
      <c r="Y80" s="18"/>
      <c r="Z80" s="18">
        <v>0.005</v>
      </c>
      <c r="AA80" s="18">
        <v>0.01</v>
      </c>
      <c r="AB80" s="18">
        <v>0.01</v>
      </c>
      <c r="AC80" s="18"/>
      <c r="AD80" s="18">
        <v>0.008</v>
      </c>
      <c r="AE80" s="18">
        <v>0.01</v>
      </c>
      <c r="AF80" s="18">
        <v>0.01</v>
      </c>
      <c r="AG80" s="18">
        <v>0.01</v>
      </c>
      <c r="AH80" s="18">
        <v>0.01</v>
      </c>
      <c r="AI80" s="18"/>
      <c r="AJ80" s="18">
        <v>0.005</v>
      </c>
      <c r="AK80" s="18">
        <v>0.01</v>
      </c>
      <c r="AL80" s="18">
        <v>0.01</v>
      </c>
      <c r="AM80" s="18"/>
      <c r="AN80" s="18"/>
      <c r="AO80" s="18">
        <v>0.01</v>
      </c>
      <c r="AP80" s="18">
        <v>0.005</v>
      </c>
      <c r="AQ80" s="18">
        <v>0.01</v>
      </c>
      <c r="AR80" s="18"/>
      <c r="AS80" s="18"/>
      <c r="AT80" s="18">
        <v>0.01</v>
      </c>
      <c r="AU80" s="18">
        <v>0.01</v>
      </c>
      <c r="AV80" s="18">
        <v>0.01</v>
      </c>
      <c r="AW80" s="18">
        <v>0.01</v>
      </c>
      <c r="AX80" s="18"/>
      <c r="AY80" s="18"/>
      <c r="AZ80" s="18">
        <v>0.02</v>
      </c>
      <c r="BA80" s="18"/>
      <c r="BB80" s="18">
        <v>0.02</v>
      </c>
      <c r="BC80" s="18">
        <v>0.03</v>
      </c>
      <c r="BD80" s="18">
        <v>0.005</v>
      </c>
      <c r="BE80" s="18">
        <v>0.005</v>
      </c>
      <c r="BF80" s="18">
        <v>0.006</v>
      </c>
      <c r="BG80" s="18">
        <v>0.01</v>
      </c>
      <c r="BH80" s="18">
        <v>0.01</v>
      </c>
      <c r="BI80" s="18">
        <v>0.015</v>
      </c>
      <c r="BJ80" s="18"/>
      <c r="BK80" s="18"/>
      <c r="BL80" s="18">
        <v>0.01</v>
      </c>
      <c r="BM80" s="18">
        <v>0.01</v>
      </c>
      <c r="BN80" s="18"/>
      <c r="BO80" s="18">
        <v>0.02</v>
      </c>
      <c r="BP80" s="18"/>
      <c r="BQ80" s="18">
        <v>0.02</v>
      </c>
      <c r="BR80" s="18">
        <v>0.01</v>
      </c>
      <c r="BS80" s="18"/>
      <c r="BT80" s="18">
        <v>0.01</v>
      </c>
      <c r="BU80" s="18">
        <v>0.02</v>
      </c>
      <c r="BV80" s="18">
        <v>0.005</v>
      </c>
      <c r="BW80" s="18"/>
      <c r="BX80" s="18">
        <v>0.02</v>
      </c>
      <c r="BY80" s="18"/>
      <c r="BZ80" s="18"/>
      <c r="CA80" s="18">
        <v>0.02</v>
      </c>
      <c r="CB80" s="18">
        <v>0.01</v>
      </c>
      <c r="CC80" s="18">
        <v>0.01</v>
      </c>
      <c r="CD80" s="18">
        <v>0.01</v>
      </c>
      <c r="CE80" s="18"/>
      <c r="CF80" s="18">
        <v>0.01</v>
      </c>
      <c r="CG80" s="18">
        <v>0.01</v>
      </c>
      <c r="CH80" s="18"/>
      <c r="CI80" s="18">
        <v>0.01</v>
      </c>
      <c r="CJ80" s="18"/>
      <c r="CK80" s="18">
        <v>0.01</v>
      </c>
      <c r="CL80" s="18"/>
      <c r="CM80" s="18"/>
      <c r="CN80" s="18">
        <v>0.01</v>
      </c>
      <c r="CO80" s="18">
        <v>0.015</v>
      </c>
      <c r="CP80" s="18"/>
      <c r="CQ80" s="18"/>
      <c r="CR80" s="18"/>
      <c r="CS80" s="18">
        <v>0.02</v>
      </c>
      <c r="CT80" s="18"/>
      <c r="CU80" s="18">
        <v>0.005</v>
      </c>
      <c r="CV80" s="18">
        <v>0.02</v>
      </c>
      <c r="CW80" s="18"/>
      <c r="CX80" s="18"/>
      <c r="CY80" s="18">
        <v>0.01</v>
      </c>
      <c r="CZ80" s="18"/>
      <c r="DA80" s="18">
        <v>0.01</v>
      </c>
      <c r="DB80" s="18"/>
      <c r="DC80" s="18"/>
      <c r="DD80" s="18"/>
      <c r="DE80" s="18">
        <v>0.02</v>
      </c>
      <c r="DF80" s="18">
        <v>0.02</v>
      </c>
      <c r="DG80" s="18">
        <v>0.02</v>
      </c>
      <c r="DH80" s="18">
        <v>0.03</v>
      </c>
      <c r="DI80" s="18">
        <v>0.03</v>
      </c>
      <c r="DJ80" s="18">
        <v>0.02</v>
      </c>
      <c r="DK80" s="18"/>
      <c r="DL80" s="18"/>
      <c r="DM80" s="18"/>
      <c r="DN80" s="18">
        <v>0.015</v>
      </c>
      <c r="DO80" s="18">
        <v>0.02</v>
      </c>
      <c r="DP80" s="18">
        <v>0.01</v>
      </c>
      <c r="DQ80" s="18"/>
      <c r="DR80" s="18">
        <v>0.01</v>
      </c>
      <c r="DS80" s="18">
        <v>0.02</v>
      </c>
      <c r="DT80" s="18"/>
      <c r="DU80" s="18">
        <v>0.1</v>
      </c>
      <c r="DV80" s="18">
        <v>0.05</v>
      </c>
      <c r="DW80" s="18"/>
      <c r="DX80" s="18">
        <v>0.4</v>
      </c>
      <c r="DY80" s="18">
        <v>0.045</v>
      </c>
      <c r="DZ80" s="18">
        <v>0.03</v>
      </c>
      <c r="EA80" s="18">
        <v>0.03</v>
      </c>
      <c r="EB80" s="18">
        <v>0.015</v>
      </c>
      <c r="EC80" s="18">
        <v>0.02</v>
      </c>
      <c r="ED80" s="18">
        <v>0.01</v>
      </c>
      <c r="EE80" s="18">
        <v>0.02</v>
      </c>
      <c r="EF80" s="18">
        <v>0.01</v>
      </c>
      <c r="EG80" s="18">
        <v>0.02</v>
      </c>
      <c r="EH80" s="18"/>
      <c r="EI80" s="18">
        <v>0.01</v>
      </c>
      <c r="EJ80" s="18"/>
      <c r="EK80" s="18">
        <v>0.01</v>
      </c>
      <c r="EL80" s="13"/>
      <c r="EM80" s="18">
        <v>0.02</v>
      </c>
      <c r="EN80" s="18">
        <v>0.01</v>
      </c>
      <c r="EO80" s="18">
        <v>0.02</v>
      </c>
      <c r="EP80" s="18">
        <v>0.005</v>
      </c>
      <c r="EQ80" s="18">
        <v>0.02</v>
      </c>
      <c r="ER80" s="18"/>
      <c r="ES80" s="18">
        <v>0.02</v>
      </c>
      <c r="ET80" s="18"/>
      <c r="EU80" s="18"/>
      <c r="EV80" s="18">
        <v>0.01</v>
      </c>
      <c r="EW80" s="18">
        <v>0.02</v>
      </c>
      <c r="EX80" s="18"/>
      <c r="EY80" s="18"/>
      <c r="EZ80" s="18"/>
      <c r="FA80" s="18"/>
      <c r="FB80" s="18">
        <v>0.02</v>
      </c>
      <c r="FC80" s="18"/>
      <c r="FD80" s="18"/>
      <c r="FE80" s="18">
        <v>0.02</v>
      </c>
      <c r="FF80" s="18">
        <v>0.1</v>
      </c>
      <c r="FG80" s="18">
        <v>0.01</v>
      </c>
      <c r="FH80" s="18"/>
      <c r="FI80" s="18">
        <v>0.02</v>
      </c>
      <c r="FJ80" s="18"/>
      <c r="FK80" s="18">
        <v>0.02</v>
      </c>
      <c r="FL80" s="18">
        <v>0.01</v>
      </c>
      <c r="FM80" s="18">
        <v>0.01</v>
      </c>
      <c r="FN80" s="18"/>
      <c r="FO80" s="18"/>
      <c r="FP80" s="18">
        <v>0.02</v>
      </c>
      <c r="FQ80" s="18">
        <v>0.01</v>
      </c>
      <c r="FR80" s="18">
        <v>0.01</v>
      </c>
      <c r="FS80" s="18">
        <v>0.015</v>
      </c>
      <c r="FT80" s="18">
        <v>0.01</v>
      </c>
      <c r="FU80" s="18">
        <v>0.005</v>
      </c>
      <c r="FV80" s="18">
        <v>0.005</v>
      </c>
      <c r="FW80" s="18">
        <v>0.005</v>
      </c>
      <c r="FX80" s="18"/>
      <c r="FY80" s="18"/>
      <c r="FZ80" s="18"/>
      <c r="GA80" s="18"/>
      <c r="GB80" s="18">
        <v>0.02</v>
      </c>
      <c r="GC80" s="18"/>
      <c r="GD80" s="18"/>
      <c r="GE80" s="18">
        <v>0.01</v>
      </c>
      <c r="GF80" s="18">
        <v>0.01</v>
      </c>
      <c r="GG80" s="18"/>
      <c r="GH80" s="18"/>
      <c r="GI80" s="18"/>
      <c r="GJ80" s="18"/>
      <c r="GK80" s="18">
        <v>0.01</v>
      </c>
      <c r="GL80" s="18"/>
      <c r="GM80" s="18"/>
      <c r="GN80" s="18"/>
      <c r="GO80" s="18">
        <v>0.005</v>
      </c>
      <c r="GP80" s="18"/>
      <c r="GQ80" s="18"/>
      <c r="GR80" s="18"/>
      <c r="GS80" s="18"/>
      <c r="GT80" s="18"/>
      <c r="GU80" s="18">
        <v>0.02</v>
      </c>
      <c r="GV80" s="18"/>
      <c r="GW80" s="18"/>
      <c r="GX80" s="18"/>
      <c r="GY80" s="18"/>
      <c r="GZ80" s="18">
        <v>0.01</v>
      </c>
      <c r="HA80" s="18">
        <v>0.005</v>
      </c>
      <c r="HB80" s="18"/>
      <c r="HC80" s="18"/>
      <c r="HD80" s="18"/>
      <c r="HE80" s="18">
        <v>0.02</v>
      </c>
      <c r="HF80" s="18"/>
      <c r="HG80" s="18">
        <v>0.01</v>
      </c>
      <c r="HH80" s="18">
        <v>0.02</v>
      </c>
      <c r="HI80" s="18"/>
      <c r="HJ80" s="18"/>
      <c r="HK80" s="18">
        <v>0.02</v>
      </c>
      <c r="HL80" s="18">
        <v>0.01</v>
      </c>
      <c r="HM80" s="18"/>
      <c r="HN80" s="18">
        <v>0.01</v>
      </c>
      <c r="HO80" s="18">
        <v>0.01</v>
      </c>
      <c r="HP80" s="18">
        <v>0.01</v>
      </c>
      <c r="HQ80" s="18">
        <v>0.01</v>
      </c>
      <c r="HR80" s="18">
        <v>0.01</v>
      </c>
      <c r="HS80" s="18">
        <v>0.02</v>
      </c>
      <c r="HT80" s="18">
        <v>0.015</v>
      </c>
      <c r="HU80" s="18">
        <v>0.02</v>
      </c>
      <c r="HV80" s="18">
        <v>0.02</v>
      </c>
      <c r="HW80" s="18"/>
      <c r="HX80" s="18"/>
    </row>
    <row r="81" spans="1:232" ht="12.75">
      <c r="A81" s="12"/>
      <c r="B81" s="5"/>
      <c r="C81" s="4" t="s">
        <v>0</v>
      </c>
      <c r="D81" s="18">
        <f t="shared" si="37"/>
        <v>199.6759999999996</v>
      </c>
      <c r="E81" s="18">
        <f t="shared" si="38"/>
        <v>199.6759999999996</v>
      </c>
      <c r="F81" s="18"/>
      <c r="G81" s="18"/>
      <c r="H81" s="18">
        <v>1.64</v>
      </c>
      <c r="I81" s="18">
        <v>0.82</v>
      </c>
      <c r="J81" s="18">
        <v>0.82</v>
      </c>
      <c r="K81" s="18"/>
      <c r="L81" s="18"/>
      <c r="M81" s="18"/>
      <c r="N81" s="18">
        <v>1.64</v>
      </c>
      <c r="O81" s="18">
        <v>1.23</v>
      </c>
      <c r="P81" s="18">
        <v>0.82</v>
      </c>
      <c r="Q81" s="18">
        <v>0.82</v>
      </c>
      <c r="R81" s="18">
        <v>0.411</v>
      </c>
      <c r="S81" s="18">
        <v>0.82</v>
      </c>
      <c r="T81" s="18"/>
      <c r="U81" s="18">
        <v>0.411</v>
      </c>
      <c r="V81" s="18">
        <v>0.82</v>
      </c>
      <c r="W81" s="18">
        <v>0.411</v>
      </c>
      <c r="X81" s="18">
        <v>0.82</v>
      </c>
      <c r="Y81" s="18"/>
      <c r="Z81" s="18">
        <v>0.411</v>
      </c>
      <c r="AA81" s="18">
        <v>0.82</v>
      </c>
      <c r="AB81" s="18">
        <v>0.82</v>
      </c>
      <c r="AC81" s="18"/>
      <c r="AD81" s="18">
        <v>0.656</v>
      </c>
      <c r="AE81" s="18">
        <v>0.82</v>
      </c>
      <c r="AF81" s="18">
        <v>0.82</v>
      </c>
      <c r="AG81" s="18">
        <v>0.82</v>
      </c>
      <c r="AH81" s="18">
        <v>0.82</v>
      </c>
      <c r="AI81" s="18"/>
      <c r="AJ81" s="18">
        <v>0.411</v>
      </c>
      <c r="AK81" s="18">
        <v>0.82</v>
      </c>
      <c r="AL81" s="18">
        <v>0.82</v>
      </c>
      <c r="AM81" s="18"/>
      <c r="AN81" s="18"/>
      <c r="AO81" s="18">
        <v>0.82</v>
      </c>
      <c r="AP81" s="18">
        <v>0.411</v>
      </c>
      <c r="AQ81" s="18">
        <v>0.82</v>
      </c>
      <c r="AR81" s="18"/>
      <c r="AS81" s="18"/>
      <c r="AT81" s="18">
        <v>0.82</v>
      </c>
      <c r="AU81" s="18">
        <v>0.82</v>
      </c>
      <c r="AV81" s="18">
        <v>0.82</v>
      </c>
      <c r="AW81" s="18">
        <v>0.82</v>
      </c>
      <c r="AX81" s="18"/>
      <c r="AY81" s="18"/>
      <c r="AZ81" s="18">
        <v>1.64</v>
      </c>
      <c r="BA81" s="18"/>
      <c r="BB81" s="18">
        <v>1.64</v>
      </c>
      <c r="BC81" s="18">
        <v>2.46</v>
      </c>
      <c r="BD81" s="18">
        <v>0.411</v>
      </c>
      <c r="BE81" s="18">
        <v>0.411</v>
      </c>
      <c r="BF81" s="18">
        <v>0.492</v>
      </c>
      <c r="BG81" s="18">
        <v>0.82</v>
      </c>
      <c r="BH81" s="18">
        <v>0.82</v>
      </c>
      <c r="BI81" s="18">
        <v>1.23</v>
      </c>
      <c r="BJ81" s="18"/>
      <c r="BK81" s="18"/>
      <c r="BL81" s="18">
        <v>0.82</v>
      </c>
      <c r="BM81" s="18">
        <v>0.82</v>
      </c>
      <c r="BN81" s="18"/>
      <c r="BO81" s="18">
        <v>1.64</v>
      </c>
      <c r="BP81" s="18"/>
      <c r="BQ81" s="18">
        <f>1.64-0.25</f>
        <v>1.39</v>
      </c>
      <c r="BR81" s="18">
        <v>0.82</v>
      </c>
      <c r="BS81" s="18"/>
      <c r="BT81" s="18">
        <v>0.82</v>
      </c>
      <c r="BU81" s="18">
        <v>1.64</v>
      </c>
      <c r="BV81" s="18">
        <v>0.411</v>
      </c>
      <c r="BW81" s="18"/>
      <c r="BX81" s="18">
        <v>1.64</v>
      </c>
      <c r="BY81" s="18"/>
      <c r="BZ81" s="18"/>
      <c r="CA81" s="18">
        <v>1.64</v>
      </c>
      <c r="CB81" s="18">
        <v>0.82</v>
      </c>
      <c r="CC81" s="18">
        <v>0.82</v>
      </c>
      <c r="CD81" s="18">
        <v>0.82</v>
      </c>
      <c r="CE81" s="18"/>
      <c r="CF81" s="18">
        <v>0.82</v>
      </c>
      <c r="CG81" s="18">
        <v>0.82</v>
      </c>
      <c r="CH81" s="18"/>
      <c r="CI81" s="18">
        <v>1.64</v>
      </c>
      <c r="CJ81" s="18"/>
      <c r="CK81" s="18">
        <v>0.82</v>
      </c>
      <c r="CL81" s="18"/>
      <c r="CM81" s="18"/>
      <c r="CN81" s="18">
        <v>0.82</v>
      </c>
      <c r="CO81" s="18">
        <v>1.23</v>
      </c>
      <c r="CP81" s="18"/>
      <c r="CQ81" s="18"/>
      <c r="CR81" s="18"/>
      <c r="CS81" s="18">
        <v>1.64</v>
      </c>
      <c r="CT81" s="18"/>
      <c r="CU81" s="18">
        <v>0.411</v>
      </c>
      <c r="CV81" s="18">
        <v>1.64</v>
      </c>
      <c r="CW81" s="18"/>
      <c r="CX81" s="18"/>
      <c r="CY81" s="18">
        <v>0.82</v>
      </c>
      <c r="CZ81" s="18"/>
      <c r="DA81" s="18">
        <v>0.82</v>
      </c>
      <c r="DB81" s="18"/>
      <c r="DC81" s="18"/>
      <c r="DD81" s="18"/>
      <c r="DE81" s="18">
        <v>1.64</v>
      </c>
      <c r="DF81" s="18">
        <v>1.64</v>
      </c>
      <c r="DG81" s="18">
        <v>1.64</v>
      </c>
      <c r="DH81" s="18">
        <v>2.46</v>
      </c>
      <c r="DI81" s="18">
        <v>2.46</v>
      </c>
      <c r="DJ81" s="18">
        <v>1.64</v>
      </c>
      <c r="DK81" s="18"/>
      <c r="DL81" s="18"/>
      <c r="DM81" s="18"/>
      <c r="DN81" s="18">
        <v>1.23</v>
      </c>
      <c r="DO81" s="18">
        <v>1.64</v>
      </c>
      <c r="DP81" s="18">
        <v>0.82</v>
      </c>
      <c r="DQ81" s="18"/>
      <c r="DR81" s="18">
        <v>0.82</v>
      </c>
      <c r="DS81" s="18">
        <v>1.64</v>
      </c>
      <c r="DT81" s="18"/>
      <c r="DU81" s="18">
        <v>8.202</v>
      </c>
      <c r="DV81" s="18">
        <v>4.102</v>
      </c>
      <c r="DW81" s="18"/>
      <c r="DX81" s="18">
        <v>32.812</v>
      </c>
      <c r="DY81" s="18">
        <v>3.692</v>
      </c>
      <c r="DZ81" s="18">
        <v>2.46</v>
      </c>
      <c r="EA81" s="18">
        <v>2.46</v>
      </c>
      <c r="EB81" s="18">
        <v>1.23</v>
      </c>
      <c r="EC81" s="18">
        <v>1.64</v>
      </c>
      <c r="ED81" s="18">
        <v>0.84</v>
      </c>
      <c r="EE81" s="18">
        <v>1.64</v>
      </c>
      <c r="EF81" s="18">
        <v>0.82</v>
      </c>
      <c r="EG81" s="18">
        <v>1.64</v>
      </c>
      <c r="EH81" s="18"/>
      <c r="EI81" s="18">
        <v>0.82</v>
      </c>
      <c r="EJ81" s="18"/>
      <c r="EK81" s="18">
        <v>0.82</v>
      </c>
      <c r="EL81" s="6"/>
      <c r="EM81" s="18">
        <v>1.64</v>
      </c>
      <c r="EN81" s="18">
        <v>0.82</v>
      </c>
      <c r="EO81" s="18">
        <v>1.64</v>
      </c>
      <c r="EP81" s="18">
        <v>0.411</v>
      </c>
      <c r="EQ81" s="18">
        <v>1.64</v>
      </c>
      <c r="ER81" s="18"/>
      <c r="ES81" s="18">
        <v>1.64</v>
      </c>
      <c r="ET81" s="18"/>
      <c r="EU81" s="18"/>
      <c r="EV81" s="18">
        <v>0.82</v>
      </c>
      <c r="EW81" s="18">
        <v>1.64</v>
      </c>
      <c r="EX81" s="18"/>
      <c r="EY81" s="18"/>
      <c r="EZ81" s="18"/>
      <c r="FA81" s="18"/>
      <c r="FB81" s="18">
        <v>1.64</v>
      </c>
      <c r="FC81" s="18"/>
      <c r="FD81" s="18"/>
      <c r="FE81" s="18">
        <v>1.64</v>
      </c>
      <c r="FF81" s="18">
        <v>8.404</v>
      </c>
      <c r="FG81" s="18">
        <v>0.82</v>
      </c>
      <c r="FH81" s="18"/>
      <c r="FI81" s="18">
        <v>1.64</v>
      </c>
      <c r="FJ81" s="18"/>
      <c r="FK81" s="18">
        <v>1.68</v>
      </c>
      <c r="FL81" s="18">
        <v>0.82</v>
      </c>
      <c r="FM81" s="18">
        <v>0.82</v>
      </c>
      <c r="FN81" s="18"/>
      <c r="FO81" s="18"/>
      <c r="FP81" s="18">
        <v>1.68</v>
      </c>
      <c r="FQ81" s="18">
        <v>0.82</v>
      </c>
      <c r="FR81" s="18">
        <v>0.82</v>
      </c>
      <c r="FS81" s="18">
        <v>1.23</v>
      </c>
      <c r="FT81" s="18">
        <v>0.82</v>
      </c>
      <c r="FU81" s="18">
        <v>0.411</v>
      </c>
      <c r="FV81" s="18">
        <v>0.411</v>
      </c>
      <c r="FW81" s="18">
        <v>0.411</v>
      </c>
      <c r="FX81" s="18"/>
      <c r="FY81" s="18"/>
      <c r="FZ81" s="18"/>
      <c r="GA81" s="18"/>
      <c r="GB81" s="18">
        <v>1.64</v>
      </c>
      <c r="GC81" s="18"/>
      <c r="GD81" s="18"/>
      <c r="GE81" s="18">
        <v>0.82</v>
      </c>
      <c r="GF81" s="18">
        <v>0.82</v>
      </c>
      <c r="GG81" s="18"/>
      <c r="GH81" s="18"/>
      <c r="GI81" s="18"/>
      <c r="GJ81" s="18"/>
      <c r="GK81" s="18">
        <v>0.82</v>
      </c>
      <c r="GL81" s="18"/>
      <c r="GM81" s="18"/>
      <c r="GN81" s="18"/>
      <c r="GO81" s="18">
        <v>0.411</v>
      </c>
      <c r="GP81" s="18"/>
      <c r="GQ81" s="18"/>
      <c r="GR81" s="18"/>
      <c r="GS81" s="18"/>
      <c r="GT81" s="18"/>
      <c r="GU81" s="18">
        <v>1.64</v>
      </c>
      <c r="GV81" s="18"/>
      <c r="GW81" s="18"/>
      <c r="GX81" s="18"/>
      <c r="GY81" s="18"/>
      <c r="GZ81" s="18">
        <v>0.82</v>
      </c>
      <c r="HA81" s="18">
        <v>0.411</v>
      </c>
      <c r="HB81" s="18"/>
      <c r="HC81" s="18"/>
      <c r="HD81" s="18"/>
      <c r="HE81" s="18">
        <v>1.64</v>
      </c>
      <c r="HF81" s="18"/>
      <c r="HG81" s="18">
        <v>0.82</v>
      </c>
      <c r="HH81" s="18">
        <v>1.64</v>
      </c>
      <c r="HI81" s="18"/>
      <c r="HJ81" s="18"/>
      <c r="HK81" s="18">
        <v>1.64</v>
      </c>
      <c r="HL81" s="18">
        <v>0.82</v>
      </c>
      <c r="HM81" s="18"/>
      <c r="HN81" s="18">
        <v>0.82</v>
      </c>
      <c r="HO81" s="18">
        <v>0.82</v>
      </c>
      <c r="HP81" s="18">
        <v>0.82</v>
      </c>
      <c r="HQ81" s="18">
        <v>0.82</v>
      </c>
      <c r="HR81" s="18">
        <v>0.82</v>
      </c>
      <c r="HS81" s="18">
        <v>1.64</v>
      </c>
      <c r="HT81" s="18">
        <v>1.23</v>
      </c>
      <c r="HU81" s="18">
        <v>1.64</v>
      </c>
      <c r="HV81" s="18">
        <v>1.64</v>
      </c>
      <c r="HW81" s="18"/>
      <c r="HX81" s="18"/>
    </row>
    <row r="82" spans="1:232" ht="27" customHeight="1">
      <c r="A82" s="12">
        <v>26</v>
      </c>
      <c r="B82" s="14" t="s">
        <v>328</v>
      </c>
      <c r="C82" s="15" t="s">
        <v>1</v>
      </c>
      <c r="D82" s="18">
        <f t="shared" si="37"/>
        <v>8036</v>
      </c>
      <c r="E82" s="18">
        <f>SUM(G82:HX82)</f>
        <v>8036</v>
      </c>
      <c r="F82" s="18"/>
      <c r="G82" s="18">
        <v>1</v>
      </c>
      <c r="H82" s="18">
        <v>28</v>
      </c>
      <c r="I82" s="18">
        <v>34</v>
      </c>
      <c r="J82" s="18">
        <v>28</v>
      </c>
      <c r="K82" s="18">
        <v>10</v>
      </c>
      <c r="L82" s="18">
        <v>65</v>
      </c>
      <c r="M82" s="18"/>
      <c r="N82" s="18">
        <v>25</v>
      </c>
      <c r="O82" s="18">
        <v>50</v>
      </c>
      <c r="P82" s="18">
        <v>100</v>
      </c>
      <c r="Q82" s="18">
        <v>35</v>
      </c>
      <c r="R82" s="18">
        <v>40</v>
      </c>
      <c r="S82" s="18">
        <v>40</v>
      </c>
      <c r="T82" s="18"/>
      <c r="U82" s="18">
        <v>70</v>
      </c>
      <c r="V82" s="18">
        <v>90</v>
      </c>
      <c r="W82" s="18"/>
      <c r="X82" s="18">
        <v>25</v>
      </c>
      <c r="Y82" s="18"/>
      <c r="Z82" s="18">
        <v>25</v>
      </c>
      <c r="AA82" s="18">
        <v>40</v>
      </c>
      <c r="AB82" s="18">
        <v>30</v>
      </c>
      <c r="AC82" s="18"/>
      <c r="AD82" s="18">
        <v>32</v>
      </c>
      <c r="AE82" s="18">
        <v>27</v>
      </c>
      <c r="AF82" s="18">
        <v>21</v>
      </c>
      <c r="AG82" s="18">
        <v>25</v>
      </c>
      <c r="AH82" s="18">
        <v>60</v>
      </c>
      <c r="AI82" s="18"/>
      <c r="AJ82" s="18">
        <v>25</v>
      </c>
      <c r="AK82" s="18">
        <v>31</v>
      </c>
      <c r="AL82" s="18">
        <v>69</v>
      </c>
      <c r="AM82" s="18">
        <v>10</v>
      </c>
      <c r="AN82" s="18"/>
      <c r="AO82" s="18">
        <v>28</v>
      </c>
      <c r="AP82" s="18"/>
      <c r="AQ82" s="18">
        <v>35</v>
      </c>
      <c r="AR82" s="18"/>
      <c r="AS82" s="18">
        <v>10</v>
      </c>
      <c r="AT82" s="18">
        <v>43</v>
      </c>
      <c r="AU82" s="18">
        <v>38</v>
      </c>
      <c r="AV82" s="18">
        <v>56</v>
      </c>
      <c r="AW82" s="18">
        <v>50</v>
      </c>
      <c r="AX82" s="18"/>
      <c r="AY82" s="18"/>
      <c r="AZ82" s="18">
        <v>80</v>
      </c>
      <c r="BA82" s="18"/>
      <c r="BB82" s="18">
        <v>55</v>
      </c>
      <c r="BC82" s="18">
        <v>100</v>
      </c>
      <c r="BD82" s="18">
        <v>20</v>
      </c>
      <c r="BE82" s="18">
        <v>16</v>
      </c>
      <c r="BF82" s="18">
        <v>16</v>
      </c>
      <c r="BG82" s="18">
        <v>35</v>
      </c>
      <c r="BH82" s="18">
        <v>50</v>
      </c>
      <c r="BI82" s="18">
        <v>5</v>
      </c>
      <c r="BJ82" s="18"/>
      <c r="BK82" s="18"/>
      <c r="BL82" s="18">
        <v>10</v>
      </c>
      <c r="BM82" s="18">
        <v>28</v>
      </c>
      <c r="BN82" s="18">
        <v>5</v>
      </c>
      <c r="BO82" s="18">
        <v>119</v>
      </c>
      <c r="BP82" s="18"/>
      <c r="BQ82" s="18"/>
      <c r="BR82" s="18">
        <v>41</v>
      </c>
      <c r="BS82" s="18"/>
      <c r="BT82" s="18">
        <v>70</v>
      </c>
      <c r="BU82" s="18">
        <v>94</v>
      </c>
      <c r="BV82" s="18">
        <v>1</v>
      </c>
      <c r="BW82" s="18"/>
      <c r="BX82" s="18">
        <v>5</v>
      </c>
      <c r="BY82" s="18"/>
      <c r="BZ82" s="18">
        <v>28</v>
      </c>
      <c r="CA82" s="18">
        <v>50</v>
      </c>
      <c r="CB82" s="18">
        <v>25</v>
      </c>
      <c r="CC82" s="18">
        <v>35</v>
      </c>
      <c r="CD82" s="18">
        <v>41</v>
      </c>
      <c r="CE82" s="18"/>
      <c r="CF82" s="18">
        <v>41</v>
      </c>
      <c r="CG82" s="18">
        <v>41</v>
      </c>
      <c r="CH82" s="18"/>
      <c r="CI82" s="18">
        <v>70</v>
      </c>
      <c r="CJ82" s="18"/>
      <c r="CK82" s="18">
        <v>50</v>
      </c>
      <c r="CL82" s="18"/>
      <c r="CM82" s="18"/>
      <c r="CN82" s="18">
        <v>68</v>
      </c>
      <c r="CO82" s="18">
        <v>58</v>
      </c>
      <c r="CP82" s="18">
        <v>8</v>
      </c>
      <c r="CQ82" s="18"/>
      <c r="CR82" s="18"/>
      <c r="CS82" s="18">
        <v>41</v>
      </c>
      <c r="CT82" s="18"/>
      <c r="CU82" s="18">
        <v>16</v>
      </c>
      <c r="CV82" s="18">
        <v>43</v>
      </c>
      <c r="CW82" s="18">
        <v>29</v>
      </c>
      <c r="CX82" s="18"/>
      <c r="CY82" s="18">
        <v>34</v>
      </c>
      <c r="CZ82" s="18">
        <v>20</v>
      </c>
      <c r="DA82" s="18">
        <v>100</v>
      </c>
      <c r="DB82" s="18"/>
      <c r="DC82" s="18">
        <v>5</v>
      </c>
      <c r="DD82" s="18"/>
      <c r="DE82" s="18">
        <v>70</v>
      </c>
      <c r="DF82" s="18">
        <v>40</v>
      </c>
      <c r="DG82" s="18">
        <v>100</v>
      </c>
      <c r="DH82" s="18">
        <v>160</v>
      </c>
      <c r="DI82" s="18">
        <v>160</v>
      </c>
      <c r="DJ82" s="18">
        <v>90</v>
      </c>
      <c r="DK82" s="18"/>
      <c r="DL82" s="18"/>
      <c r="DM82" s="18"/>
      <c r="DN82" s="18">
        <v>70</v>
      </c>
      <c r="DO82" s="18">
        <v>70</v>
      </c>
      <c r="DP82" s="18">
        <v>50</v>
      </c>
      <c r="DQ82" s="18"/>
      <c r="DR82" s="18">
        <v>35</v>
      </c>
      <c r="DS82" s="18">
        <v>120</v>
      </c>
      <c r="DT82" s="18"/>
      <c r="DU82" s="18">
        <v>140</v>
      </c>
      <c r="DV82" s="18">
        <v>47</v>
      </c>
      <c r="DW82" s="18"/>
      <c r="DX82" s="18">
        <v>516</v>
      </c>
      <c r="DY82" s="18">
        <v>72</v>
      </c>
      <c r="DZ82" s="18">
        <v>48</v>
      </c>
      <c r="EA82" s="18">
        <v>48</v>
      </c>
      <c r="EB82" s="18">
        <v>24</v>
      </c>
      <c r="EC82" s="18">
        <v>90</v>
      </c>
      <c r="ED82" s="18">
        <v>70</v>
      </c>
      <c r="EE82" s="18">
        <v>70</v>
      </c>
      <c r="EF82" s="18">
        <v>29</v>
      </c>
      <c r="EG82" s="18">
        <v>69</v>
      </c>
      <c r="EH82" s="18"/>
      <c r="EI82" s="18">
        <v>53</v>
      </c>
      <c r="EJ82" s="18">
        <v>20</v>
      </c>
      <c r="EK82" s="18">
        <v>60</v>
      </c>
      <c r="EL82" s="16">
        <v>60</v>
      </c>
      <c r="EM82" s="18">
        <v>67</v>
      </c>
      <c r="EN82" s="18">
        <v>28</v>
      </c>
      <c r="EO82" s="18">
        <v>59</v>
      </c>
      <c r="EP82" s="18">
        <v>51</v>
      </c>
      <c r="EQ82" s="18"/>
      <c r="ER82" s="18"/>
      <c r="ES82" s="18">
        <v>180</v>
      </c>
      <c r="ET82" s="18">
        <v>83</v>
      </c>
      <c r="EU82" s="18">
        <v>5</v>
      </c>
      <c r="EV82" s="18">
        <v>25</v>
      </c>
      <c r="EW82" s="18">
        <v>76</v>
      </c>
      <c r="EX82" s="18"/>
      <c r="EY82" s="18"/>
      <c r="EZ82" s="18"/>
      <c r="FA82" s="18">
        <v>10</v>
      </c>
      <c r="FB82" s="18">
        <v>35</v>
      </c>
      <c r="FC82" s="18">
        <v>35</v>
      </c>
      <c r="FD82" s="18">
        <v>25</v>
      </c>
      <c r="FE82" s="18">
        <v>70</v>
      </c>
      <c r="FF82" s="18">
        <v>160</v>
      </c>
      <c r="FG82" s="18">
        <v>25</v>
      </c>
      <c r="FH82" s="18"/>
      <c r="FI82" s="18">
        <v>70</v>
      </c>
      <c r="FJ82" s="18"/>
      <c r="FK82" s="18">
        <v>70</v>
      </c>
      <c r="FL82" s="18">
        <v>25</v>
      </c>
      <c r="FM82" s="18">
        <v>25</v>
      </c>
      <c r="FN82" s="18"/>
      <c r="FO82" s="18"/>
      <c r="FP82" s="18">
        <v>70</v>
      </c>
      <c r="FQ82" s="18">
        <v>50</v>
      </c>
      <c r="FR82" s="18">
        <v>15</v>
      </c>
      <c r="FS82" s="18">
        <v>70</v>
      </c>
      <c r="FT82" s="18">
        <v>28</v>
      </c>
      <c r="FU82" s="18">
        <v>40</v>
      </c>
      <c r="FV82" s="18">
        <v>29</v>
      </c>
      <c r="FW82" s="18">
        <v>25</v>
      </c>
      <c r="FX82" s="18"/>
      <c r="FY82" s="18"/>
      <c r="FZ82" s="18"/>
      <c r="GA82" s="18"/>
      <c r="GB82" s="18">
        <v>50</v>
      </c>
      <c r="GC82" s="18"/>
      <c r="GD82" s="18"/>
      <c r="GE82" s="18">
        <v>18</v>
      </c>
      <c r="GF82" s="18">
        <v>19</v>
      </c>
      <c r="GG82" s="18">
        <v>20</v>
      </c>
      <c r="GH82" s="18">
        <v>30</v>
      </c>
      <c r="GI82" s="18"/>
      <c r="GJ82" s="18">
        <v>25</v>
      </c>
      <c r="GK82" s="18">
        <v>25</v>
      </c>
      <c r="GL82" s="18"/>
      <c r="GM82" s="18">
        <v>35</v>
      </c>
      <c r="GN82" s="18"/>
      <c r="GO82" s="18">
        <v>25</v>
      </c>
      <c r="GP82" s="18">
        <v>5</v>
      </c>
      <c r="GQ82" s="18"/>
      <c r="GR82" s="18">
        <v>25</v>
      </c>
      <c r="GS82" s="18">
        <v>25</v>
      </c>
      <c r="GT82" s="18">
        <v>5</v>
      </c>
      <c r="GU82" s="18">
        <v>70</v>
      </c>
      <c r="GV82" s="18">
        <v>21</v>
      </c>
      <c r="GW82" s="18"/>
      <c r="GX82" s="18"/>
      <c r="GY82" s="18">
        <v>12</v>
      </c>
      <c r="GZ82" s="18">
        <v>31</v>
      </c>
      <c r="HA82" s="18">
        <v>25</v>
      </c>
      <c r="HB82" s="18"/>
      <c r="HC82" s="18">
        <v>25</v>
      </c>
      <c r="HD82" s="18">
        <v>20</v>
      </c>
      <c r="HE82" s="18">
        <v>55</v>
      </c>
      <c r="HF82" s="18"/>
      <c r="HG82" s="18">
        <v>60</v>
      </c>
      <c r="HH82" s="18">
        <v>1</v>
      </c>
      <c r="HI82" s="18"/>
      <c r="HJ82" s="18"/>
      <c r="HK82" s="18">
        <v>120</v>
      </c>
      <c r="HL82" s="18">
        <v>76</v>
      </c>
      <c r="HM82" s="18">
        <v>40</v>
      </c>
      <c r="HN82" s="18">
        <v>35</v>
      </c>
      <c r="HO82" s="18">
        <v>40</v>
      </c>
      <c r="HP82" s="18">
        <v>30</v>
      </c>
      <c r="HQ82" s="18">
        <v>70</v>
      </c>
      <c r="HR82" s="18">
        <v>50</v>
      </c>
      <c r="HS82" s="18">
        <v>40</v>
      </c>
      <c r="HT82" s="18">
        <v>80</v>
      </c>
      <c r="HU82" s="18">
        <v>70</v>
      </c>
      <c r="HV82" s="18">
        <v>22</v>
      </c>
      <c r="HW82" s="18">
        <v>25</v>
      </c>
      <c r="HX82" s="18">
        <v>30</v>
      </c>
    </row>
    <row r="83" spans="1:232" ht="12.75">
      <c r="A83" s="12"/>
      <c r="B83" s="14"/>
      <c r="C83" s="4" t="s">
        <v>0</v>
      </c>
      <c r="D83" s="18">
        <f t="shared" si="37"/>
        <v>7635.724999999995</v>
      </c>
      <c r="E83" s="18">
        <f t="shared" si="38"/>
        <v>7635.724999999995</v>
      </c>
      <c r="F83" s="18"/>
      <c r="G83" s="18">
        <v>0.67</v>
      </c>
      <c r="H83" s="18">
        <v>30.726</v>
      </c>
      <c r="I83" s="18">
        <v>32.517</v>
      </c>
      <c r="J83" s="18">
        <v>30.726</v>
      </c>
      <c r="K83" s="18">
        <v>4.098</v>
      </c>
      <c r="L83" s="18">
        <v>79.381</v>
      </c>
      <c r="M83" s="18"/>
      <c r="N83" s="18">
        <v>27.574</v>
      </c>
      <c r="O83" s="18">
        <v>55.15</v>
      </c>
      <c r="P83" s="18">
        <v>110.299</v>
      </c>
      <c r="Q83" s="18">
        <v>30.916</v>
      </c>
      <c r="R83" s="18">
        <v>28.868</v>
      </c>
      <c r="S83" s="18">
        <v>28.868</v>
      </c>
      <c r="T83" s="18"/>
      <c r="U83" s="18">
        <v>61.833</v>
      </c>
      <c r="V83" s="18">
        <v>61.833</v>
      </c>
      <c r="W83" s="18"/>
      <c r="X83" s="18">
        <v>27.574</v>
      </c>
      <c r="Y83" s="18"/>
      <c r="Z83" s="18">
        <v>27.574</v>
      </c>
      <c r="AA83" s="18">
        <v>31.659</v>
      </c>
      <c r="AB83" s="18">
        <v>28.688</v>
      </c>
      <c r="AC83" s="18"/>
      <c r="AD83" s="18">
        <v>28.986</v>
      </c>
      <c r="AE83" s="18">
        <v>32.272</v>
      </c>
      <c r="AF83" s="18">
        <v>18.178</v>
      </c>
      <c r="AG83" s="18">
        <v>27.574</v>
      </c>
      <c r="AH83" s="18">
        <v>58.588</v>
      </c>
      <c r="AI83" s="18"/>
      <c r="AJ83" s="18">
        <v>27.574</v>
      </c>
      <c r="AK83" s="18">
        <v>27.723</v>
      </c>
      <c r="AL83" s="18">
        <v>47.795</v>
      </c>
      <c r="AM83" s="18">
        <v>23.49</v>
      </c>
      <c r="AN83" s="18"/>
      <c r="AO83" s="18">
        <v>15.11</v>
      </c>
      <c r="AP83" s="18"/>
      <c r="AQ83" s="18">
        <v>29.609</v>
      </c>
      <c r="AR83" s="18"/>
      <c r="AS83" s="18">
        <v>23.49</v>
      </c>
      <c r="AT83" s="18">
        <v>34.18</v>
      </c>
      <c r="AU83" s="18">
        <v>34.068</v>
      </c>
      <c r="AV83" s="18">
        <v>61.452</v>
      </c>
      <c r="AW83" s="18">
        <v>55.15</v>
      </c>
      <c r="AX83" s="18"/>
      <c r="AY83" s="18"/>
      <c r="AZ83" s="18">
        <v>63.316</v>
      </c>
      <c r="BA83" s="18"/>
      <c r="BB83" s="18">
        <v>53.828</v>
      </c>
      <c r="BC83" s="18">
        <v>110.299</v>
      </c>
      <c r="BD83" s="18">
        <f>25.526-4.36</f>
        <v>21.166</v>
      </c>
      <c r="BE83" s="18">
        <f>16.887-0.4</f>
        <v>16.487000000000002</v>
      </c>
      <c r="BF83" s="18">
        <f>16.128-2.2</f>
        <v>13.928</v>
      </c>
      <c r="BG83" s="18">
        <f>33.567-4.23</f>
        <v>29.337</v>
      </c>
      <c r="BH83" s="18">
        <v>37.653</v>
      </c>
      <c r="BI83" s="18">
        <f>27.574-19.16</f>
        <v>8.414000000000001</v>
      </c>
      <c r="BJ83" s="18"/>
      <c r="BK83" s="18"/>
      <c r="BL83" s="18">
        <f>30.916-20.9</f>
        <v>10.016000000000002</v>
      </c>
      <c r="BM83" s="18">
        <v>30.726</v>
      </c>
      <c r="BN83" s="18">
        <v>0.647</v>
      </c>
      <c r="BO83" s="18">
        <v>80.937</v>
      </c>
      <c r="BP83" s="18"/>
      <c r="BQ83" s="18"/>
      <c r="BR83" s="18">
        <v>37.218</v>
      </c>
      <c r="BS83" s="18"/>
      <c r="BT83" s="18">
        <v>61.833</v>
      </c>
      <c r="BU83" s="18">
        <v>95.519</v>
      </c>
      <c r="BV83" s="18">
        <f>9.693-8.74</f>
        <v>0.9529999999999994</v>
      </c>
      <c r="BW83" s="18"/>
      <c r="BX83" s="18">
        <f>61.833-57.83</f>
        <v>4.003</v>
      </c>
      <c r="BY83" s="18"/>
      <c r="BZ83" s="18">
        <v>30.726</v>
      </c>
      <c r="CA83" s="18">
        <v>55.15</v>
      </c>
      <c r="CB83" s="18">
        <v>27.574</v>
      </c>
      <c r="CC83" s="18">
        <v>30.916</v>
      </c>
      <c r="CD83" s="18">
        <v>37.218</v>
      </c>
      <c r="CE83" s="18"/>
      <c r="CF83" s="18">
        <f>57.464-19.27</f>
        <v>38.194</v>
      </c>
      <c r="CG83" s="18">
        <v>57.464</v>
      </c>
      <c r="CH83" s="18"/>
      <c r="CI83" s="18">
        <v>61.833</v>
      </c>
      <c r="CJ83" s="18"/>
      <c r="CK83" s="18">
        <v>55.15</v>
      </c>
      <c r="CL83" s="18"/>
      <c r="CM83" s="18"/>
      <c r="CN83" s="18">
        <v>66.894</v>
      </c>
      <c r="CO83" s="18">
        <v>63.552</v>
      </c>
      <c r="CP83" s="18">
        <v>3.454</v>
      </c>
      <c r="CQ83" s="18"/>
      <c r="CR83" s="18"/>
      <c r="CS83" s="18">
        <v>37.218</v>
      </c>
      <c r="CT83" s="18"/>
      <c r="CU83" s="18">
        <v>16.887</v>
      </c>
      <c r="CV83" s="18">
        <v>46.356</v>
      </c>
      <c r="CW83" s="18">
        <v>27.375</v>
      </c>
      <c r="CX83" s="18"/>
      <c r="CY83" s="18">
        <v>49.803</v>
      </c>
      <c r="CZ83" s="18">
        <v>6.684</v>
      </c>
      <c r="DA83" s="18">
        <v>110.299</v>
      </c>
      <c r="DB83" s="18"/>
      <c r="DC83" s="18">
        <f>53.665-19.39-26.38</f>
        <v>7.895</v>
      </c>
      <c r="DD83" s="18"/>
      <c r="DE83" s="18">
        <v>61.833</v>
      </c>
      <c r="DF83" s="18">
        <v>51.808</v>
      </c>
      <c r="DG83" s="18">
        <v>128.72</v>
      </c>
      <c r="DH83" s="18">
        <v>175.953</v>
      </c>
      <c r="DI83" s="18">
        <v>175.953</v>
      </c>
      <c r="DJ83" s="18">
        <v>64.61</v>
      </c>
      <c r="DK83" s="18"/>
      <c r="DL83" s="18"/>
      <c r="DM83" s="18"/>
      <c r="DN83" s="18">
        <v>61.833</v>
      </c>
      <c r="DO83" s="18">
        <v>61.833</v>
      </c>
      <c r="DP83" s="18">
        <v>55.15</v>
      </c>
      <c r="DQ83" s="18"/>
      <c r="DR83" s="18">
        <v>30.916</v>
      </c>
      <c r="DS83" s="18">
        <v>110.299</v>
      </c>
      <c r="DT83" s="18"/>
      <c r="DU83" s="18">
        <v>119.952</v>
      </c>
      <c r="DV83" s="18">
        <v>34.927</v>
      </c>
      <c r="DW83" s="18"/>
      <c r="DX83" s="18">
        <v>403.079</v>
      </c>
      <c r="DY83" s="18">
        <v>70.19</v>
      </c>
      <c r="DZ83" s="18">
        <v>46.794</v>
      </c>
      <c r="EA83" s="18">
        <v>46.794</v>
      </c>
      <c r="EB83" s="18">
        <v>23.396</v>
      </c>
      <c r="EC83" s="18">
        <v>109.006</v>
      </c>
      <c r="ED83" s="18">
        <v>63.853</v>
      </c>
      <c r="EE83" s="18">
        <v>61.833</v>
      </c>
      <c r="EF83" s="18">
        <v>28.91</v>
      </c>
      <c r="EG83" s="18">
        <v>66.087</v>
      </c>
      <c r="EH83" s="18"/>
      <c r="EI83" s="18">
        <v>50.509</v>
      </c>
      <c r="EJ83" s="18">
        <f>6.684+0.06</f>
        <v>6.744</v>
      </c>
      <c r="EK83" s="18">
        <v>56.635</v>
      </c>
      <c r="EL83" s="6">
        <v>62.136</v>
      </c>
      <c r="EM83" s="18">
        <v>65.202</v>
      </c>
      <c r="EN83" s="18">
        <v>27.649</v>
      </c>
      <c r="EO83" s="18">
        <v>64.603</v>
      </c>
      <c r="EP83" s="18">
        <v>55.958</v>
      </c>
      <c r="EQ83" s="18"/>
      <c r="ER83" s="18"/>
      <c r="ES83" s="18">
        <v>133.319</v>
      </c>
      <c r="ET83" s="18">
        <v>70.035</v>
      </c>
      <c r="EU83" s="18">
        <f>55.15-1.47-51.61</f>
        <v>2.0700000000000003</v>
      </c>
      <c r="EV83" s="18">
        <v>27.574</v>
      </c>
      <c r="EW83" s="18">
        <v>68.134</v>
      </c>
      <c r="EX83" s="18"/>
      <c r="EY83" s="18"/>
      <c r="EZ83" s="18"/>
      <c r="FA83" s="18">
        <f>55.15-13.62-33.74</f>
        <v>7.789999999999999</v>
      </c>
      <c r="FB83" s="18">
        <v>30.916</v>
      </c>
      <c r="FC83" s="18">
        <v>30.916</v>
      </c>
      <c r="FD83" s="18">
        <f>30.916-13.77</f>
        <v>17.146</v>
      </c>
      <c r="FE83" s="18">
        <v>61.833</v>
      </c>
      <c r="FF83" s="18">
        <v>134.391</v>
      </c>
      <c r="FG83" s="18">
        <v>27.574</v>
      </c>
      <c r="FH83" s="18"/>
      <c r="FI83" s="18">
        <v>61.833</v>
      </c>
      <c r="FJ83" s="18"/>
      <c r="FK83" s="18">
        <v>63.853</v>
      </c>
      <c r="FL83" s="18">
        <v>27.574</v>
      </c>
      <c r="FM83" s="18">
        <f>27.574-6.3</f>
        <v>21.274</v>
      </c>
      <c r="FN83" s="18"/>
      <c r="FO83" s="18"/>
      <c r="FP83" s="18">
        <v>63.853</v>
      </c>
      <c r="FQ83" s="18">
        <v>35</v>
      </c>
      <c r="FR83" s="18">
        <f>27.574-10.47</f>
        <v>17.104</v>
      </c>
      <c r="FS83" s="18">
        <v>61.833</v>
      </c>
      <c r="FT83" s="18">
        <v>27.264</v>
      </c>
      <c r="FU83" s="18">
        <v>31.659</v>
      </c>
      <c r="FV83" s="18">
        <v>31.776</v>
      </c>
      <c r="FW83" s="18">
        <v>27.574</v>
      </c>
      <c r="FX83" s="18"/>
      <c r="FY83" s="18"/>
      <c r="FZ83" s="18"/>
      <c r="GA83" s="18"/>
      <c r="GB83" s="18">
        <v>35</v>
      </c>
      <c r="GC83" s="18"/>
      <c r="GD83" s="18"/>
      <c r="GE83" s="18">
        <v>22.825</v>
      </c>
      <c r="GF83" s="18">
        <v>25.569</v>
      </c>
      <c r="GG83" s="18">
        <v>26.833</v>
      </c>
      <c r="GH83" s="18">
        <v>30.175</v>
      </c>
      <c r="GI83" s="18"/>
      <c r="GJ83" s="18">
        <v>27.574</v>
      </c>
      <c r="GK83" s="18">
        <v>28.316</v>
      </c>
      <c r="GL83" s="18"/>
      <c r="GM83" s="18">
        <v>30.916</v>
      </c>
      <c r="GN83" s="18"/>
      <c r="GO83" s="18">
        <v>27.574</v>
      </c>
      <c r="GP83" s="18">
        <v>23.49</v>
      </c>
      <c r="GQ83" s="18"/>
      <c r="GR83" s="18">
        <v>27.574</v>
      </c>
      <c r="GS83" s="18">
        <v>27.574</v>
      </c>
      <c r="GT83" s="18">
        <f>27.574-26.22</f>
        <v>1.3540000000000028</v>
      </c>
      <c r="GU83" s="18">
        <v>61.833</v>
      </c>
      <c r="GV83" s="18">
        <v>26.024</v>
      </c>
      <c r="GW83" s="18"/>
      <c r="GX83" s="18"/>
      <c r="GY83" s="18">
        <v>15.618</v>
      </c>
      <c r="GZ83" s="18">
        <v>35.883</v>
      </c>
      <c r="HA83" s="18">
        <v>27.574</v>
      </c>
      <c r="HB83" s="18"/>
      <c r="HC83" s="18">
        <f>27.574-0.27</f>
        <v>27.304000000000002</v>
      </c>
      <c r="HD83" s="18">
        <v>46.982</v>
      </c>
      <c r="HE83" s="18">
        <v>59.703</v>
      </c>
      <c r="HF83" s="18"/>
      <c r="HG83" s="18">
        <v>58.491</v>
      </c>
      <c r="HH83" s="18">
        <v>1.42</v>
      </c>
      <c r="HI83" s="18"/>
      <c r="HJ83" s="18"/>
      <c r="HK83" s="18">
        <v>116.983</v>
      </c>
      <c r="HL83" s="18">
        <v>68.134</v>
      </c>
      <c r="HM83" s="18">
        <v>31.659</v>
      </c>
      <c r="HN83" s="18">
        <v>29.609</v>
      </c>
      <c r="HO83" s="18">
        <v>31.659</v>
      </c>
      <c r="HP83" s="18">
        <v>28.316</v>
      </c>
      <c r="HQ83" s="18">
        <v>61.833</v>
      </c>
      <c r="HR83" s="18">
        <v>55.15</v>
      </c>
      <c r="HS83" s="18">
        <v>31.659</v>
      </c>
      <c r="HT83" s="18">
        <v>63.316</v>
      </c>
      <c r="HU83" s="18">
        <v>61.833</v>
      </c>
      <c r="HV83" s="18">
        <v>22.729</v>
      </c>
      <c r="HW83" s="18">
        <v>27.574</v>
      </c>
      <c r="HX83" s="18">
        <v>33.09</v>
      </c>
    </row>
    <row r="84" spans="1:232" ht="12.75">
      <c r="A84" s="2" t="s">
        <v>329</v>
      </c>
      <c r="B84" s="5" t="s">
        <v>18</v>
      </c>
      <c r="C84" s="4" t="s">
        <v>1</v>
      </c>
      <c r="D84" s="18">
        <f t="shared" si="37"/>
        <v>0</v>
      </c>
      <c r="E84" s="18">
        <f t="shared" si="38"/>
        <v>0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7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</row>
    <row r="85" spans="1:232" ht="12.75">
      <c r="A85" s="2"/>
      <c r="B85" s="5"/>
      <c r="C85" s="4" t="s">
        <v>0</v>
      </c>
      <c r="D85" s="18">
        <f t="shared" si="37"/>
        <v>0</v>
      </c>
      <c r="E85" s="18">
        <f t="shared" si="38"/>
        <v>0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7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</row>
    <row r="86" spans="1:232" s="43" customFormat="1" ht="12.75">
      <c r="A86" s="12" t="s">
        <v>17</v>
      </c>
      <c r="B86" s="9" t="s">
        <v>66</v>
      </c>
      <c r="C86" s="12" t="s">
        <v>0</v>
      </c>
      <c r="D86" s="42">
        <f>D87+D88</f>
        <v>991.562</v>
      </c>
      <c r="E86" s="42">
        <f>E87+E88</f>
        <v>991.562</v>
      </c>
      <c r="F86" s="42">
        <f aca="true" t="shared" si="39" ref="F86:BQ86">F87+F88</f>
        <v>0</v>
      </c>
      <c r="G86" s="42">
        <f t="shared" si="39"/>
        <v>0</v>
      </c>
      <c r="H86" s="42">
        <f t="shared" si="39"/>
        <v>0</v>
      </c>
      <c r="I86" s="42">
        <f t="shared" si="39"/>
        <v>0</v>
      </c>
      <c r="J86" s="42">
        <f t="shared" si="39"/>
        <v>0</v>
      </c>
      <c r="K86" s="42">
        <f t="shared" si="39"/>
        <v>0</v>
      </c>
      <c r="L86" s="42">
        <f t="shared" si="39"/>
        <v>0</v>
      </c>
      <c r="M86" s="42">
        <f t="shared" si="39"/>
        <v>0</v>
      </c>
      <c r="N86" s="42">
        <f t="shared" si="39"/>
        <v>0</v>
      </c>
      <c r="O86" s="42">
        <f t="shared" si="39"/>
        <v>0</v>
      </c>
      <c r="P86" s="42">
        <f t="shared" si="39"/>
        <v>0</v>
      </c>
      <c r="Q86" s="42">
        <f t="shared" si="39"/>
        <v>0</v>
      </c>
      <c r="R86" s="42">
        <f t="shared" si="39"/>
        <v>0</v>
      </c>
      <c r="S86" s="42">
        <f t="shared" si="39"/>
        <v>0</v>
      </c>
      <c r="T86" s="42">
        <f t="shared" si="39"/>
        <v>0</v>
      </c>
      <c r="U86" s="42">
        <f t="shared" si="39"/>
        <v>0</v>
      </c>
      <c r="V86" s="42">
        <f t="shared" si="39"/>
        <v>0</v>
      </c>
      <c r="W86" s="42">
        <f t="shared" si="39"/>
        <v>0</v>
      </c>
      <c r="X86" s="42">
        <f t="shared" si="39"/>
        <v>0</v>
      </c>
      <c r="Y86" s="42">
        <f t="shared" si="39"/>
        <v>0</v>
      </c>
      <c r="Z86" s="42">
        <f t="shared" si="39"/>
        <v>0</v>
      </c>
      <c r="AA86" s="42">
        <f t="shared" si="39"/>
        <v>0</v>
      </c>
      <c r="AB86" s="42">
        <f t="shared" si="39"/>
        <v>0</v>
      </c>
      <c r="AC86" s="42">
        <f t="shared" si="39"/>
        <v>0</v>
      </c>
      <c r="AD86" s="42">
        <f t="shared" si="39"/>
        <v>0</v>
      </c>
      <c r="AE86" s="42">
        <f t="shared" si="39"/>
        <v>0</v>
      </c>
      <c r="AF86" s="42">
        <f t="shared" si="39"/>
        <v>0</v>
      </c>
      <c r="AG86" s="42">
        <f t="shared" si="39"/>
        <v>0</v>
      </c>
      <c r="AH86" s="42">
        <f t="shared" si="39"/>
        <v>0</v>
      </c>
      <c r="AI86" s="42">
        <f t="shared" si="39"/>
        <v>0</v>
      </c>
      <c r="AJ86" s="42">
        <f t="shared" si="39"/>
        <v>0</v>
      </c>
      <c r="AK86" s="42">
        <f t="shared" si="39"/>
        <v>0</v>
      </c>
      <c r="AL86" s="42">
        <f t="shared" si="39"/>
        <v>0</v>
      </c>
      <c r="AM86" s="42">
        <f t="shared" si="39"/>
        <v>0</v>
      </c>
      <c r="AN86" s="42">
        <f t="shared" si="39"/>
        <v>0</v>
      </c>
      <c r="AO86" s="42">
        <f t="shared" si="39"/>
        <v>0</v>
      </c>
      <c r="AP86" s="42">
        <f t="shared" si="39"/>
        <v>0</v>
      </c>
      <c r="AQ86" s="42">
        <f t="shared" si="39"/>
        <v>0</v>
      </c>
      <c r="AR86" s="42">
        <f t="shared" si="39"/>
        <v>0</v>
      </c>
      <c r="AS86" s="42">
        <f t="shared" si="39"/>
        <v>0</v>
      </c>
      <c r="AT86" s="42">
        <f t="shared" si="39"/>
        <v>0</v>
      </c>
      <c r="AU86" s="42">
        <f t="shared" si="39"/>
        <v>0</v>
      </c>
      <c r="AV86" s="42">
        <f t="shared" si="39"/>
        <v>0</v>
      </c>
      <c r="AW86" s="42">
        <f t="shared" si="39"/>
        <v>0</v>
      </c>
      <c r="AX86" s="42">
        <f t="shared" si="39"/>
        <v>0</v>
      </c>
      <c r="AY86" s="42">
        <f t="shared" si="39"/>
        <v>0</v>
      </c>
      <c r="AZ86" s="42">
        <f t="shared" si="39"/>
        <v>0</v>
      </c>
      <c r="BA86" s="42">
        <f t="shared" si="39"/>
        <v>0</v>
      </c>
      <c r="BB86" s="42">
        <f t="shared" si="39"/>
        <v>0</v>
      </c>
      <c r="BC86" s="42">
        <f t="shared" si="39"/>
        <v>0</v>
      </c>
      <c r="BD86" s="42">
        <f t="shared" si="39"/>
        <v>0</v>
      </c>
      <c r="BE86" s="42">
        <f t="shared" si="39"/>
        <v>0</v>
      </c>
      <c r="BF86" s="42">
        <f t="shared" si="39"/>
        <v>0</v>
      </c>
      <c r="BG86" s="42">
        <f t="shared" si="39"/>
        <v>0</v>
      </c>
      <c r="BH86" s="42">
        <f t="shared" si="39"/>
        <v>0</v>
      </c>
      <c r="BI86" s="42">
        <f t="shared" si="39"/>
        <v>0</v>
      </c>
      <c r="BJ86" s="42">
        <f t="shared" si="39"/>
        <v>0</v>
      </c>
      <c r="BK86" s="42">
        <f t="shared" si="39"/>
        <v>0</v>
      </c>
      <c r="BL86" s="42">
        <f t="shared" si="39"/>
        <v>0</v>
      </c>
      <c r="BM86" s="42">
        <f t="shared" si="39"/>
        <v>0</v>
      </c>
      <c r="BN86" s="42">
        <f t="shared" si="39"/>
        <v>0</v>
      </c>
      <c r="BO86" s="42">
        <f t="shared" si="39"/>
        <v>0</v>
      </c>
      <c r="BP86" s="42">
        <f t="shared" si="39"/>
        <v>0</v>
      </c>
      <c r="BQ86" s="42">
        <f t="shared" si="39"/>
        <v>0</v>
      </c>
      <c r="BR86" s="42">
        <f aca="true" t="shared" si="40" ref="BR86:EC86">BR87+BR88</f>
        <v>0</v>
      </c>
      <c r="BS86" s="42">
        <f t="shared" si="40"/>
        <v>0</v>
      </c>
      <c r="BT86" s="42">
        <f t="shared" si="40"/>
        <v>0</v>
      </c>
      <c r="BU86" s="42">
        <f t="shared" si="40"/>
        <v>0</v>
      </c>
      <c r="BV86" s="42">
        <f t="shared" si="40"/>
        <v>0</v>
      </c>
      <c r="BW86" s="42">
        <f t="shared" si="40"/>
        <v>0</v>
      </c>
      <c r="BX86" s="42">
        <f t="shared" si="40"/>
        <v>0</v>
      </c>
      <c r="BY86" s="42">
        <f t="shared" si="40"/>
        <v>0</v>
      </c>
      <c r="BZ86" s="42">
        <f t="shared" si="40"/>
        <v>0</v>
      </c>
      <c r="CA86" s="42">
        <f t="shared" si="40"/>
        <v>0</v>
      </c>
      <c r="CB86" s="42">
        <f t="shared" si="40"/>
        <v>0</v>
      </c>
      <c r="CC86" s="42">
        <f t="shared" si="40"/>
        <v>0</v>
      </c>
      <c r="CD86" s="42">
        <f t="shared" si="40"/>
        <v>0</v>
      </c>
      <c r="CE86" s="42">
        <f t="shared" si="40"/>
        <v>0</v>
      </c>
      <c r="CF86" s="42">
        <f t="shared" si="40"/>
        <v>0</v>
      </c>
      <c r="CG86" s="42">
        <f t="shared" si="40"/>
        <v>0</v>
      </c>
      <c r="CH86" s="42">
        <f t="shared" si="40"/>
        <v>0</v>
      </c>
      <c r="CI86" s="42">
        <f t="shared" si="40"/>
        <v>0</v>
      </c>
      <c r="CJ86" s="42">
        <f t="shared" si="40"/>
        <v>0</v>
      </c>
      <c r="CK86" s="42">
        <f t="shared" si="40"/>
        <v>0</v>
      </c>
      <c r="CL86" s="42">
        <f t="shared" si="40"/>
        <v>0</v>
      </c>
      <c r="CM86" s="42">
        <f t="shared" si="40"/>
        <v>0</v>
      </c>
      <c r="CN86" s="42">
        <f t="shared" si="40"/>
        <v>0</v>
      </c>
      <c r="CO86" s="42">
        <f t="shared" si="40"/>
        <v>0</v>
      </c>
      <c r="CP86" s="42">
        <f t="shared" si="40"/>
        <v>0</v>
      </c>
      <c r="CQ86" s="42">
        <f t="shared" si="40"/>
        <v>0</v>
      </c>
      <c r="CR86" s="42">
        <f t="shared" si="40"/>
        <v>0</v>
      </c>
      <c r="CS86" s="42">
        <f t="shared" si="40"/>
        <v>0</v>
      </c>
      <c r="CT86" s="42">
        <f t="shared" si="40"/>
        <v>0</v>
      </c>
      <c r="CU86" s="42">
        <f t="shared" si="40"/>
        <v>0</v>
      </c>
      <c r="CV86" s="42">
        <f t="shared" si="40"/>
        <v>0</v>
      </c>
      <c r="CW86" s="42">
        <f t="shared" si="40"/>
        <v>0</v>
      </c>
      <c r="CX86" s="42">
        <f t="shared" si="40"/>
        <v>0</v>
      </c>
      <c r="CY86" s="42">
        <f t="shared" si="40"/>
        <v>0</v>
      </c>
      <c r="CZ86" s="42">
        <f t="shared" si="40"/>
        <v>0</v>
      </c>
      <c r="DA86" s="42">
        <f t="shared" si="40"/>
        <v>0</v>
      </c>
      <c r="DB86" s="42">
        <f t="shared" si="40"/>
        <v>0</v>
      </c>
      <c r="DC86" s="42">
        <f t="shared" si="40"/>
        <v>0</v>
      </c>
      <c r="DD86" s="42">
        <f t="shared" si="40"/>
        <v>0</v>
      </c>
      <c r="DE86" s="42">
        <f t="shared" si="40"/>
        <v>0</v>
      </c>
      <c r="DF86" s="42">
        <f t="shared" si="40"/>
        <v>0</v>
      </c>
      <c r="DG86" s="42">
        <f t="shared" si="40"/>
        <v>0</v>
      </c>
      <c r="DH86" s="42">
        <f t="shared" si="40"/>
        <v>0</v>
      </c>
      <c r="DI86" s="42">
        <f t="shared" si="40"/>
        <v>0</v>
      </c>
      <c r="DJ86" s="42">
        <f t="shared" si="40"/>
        <v>0</v>
      </c>
      <c r="DK86" s="42">
        <f t="shared" si="40"/>
        <v>0</v>
      </c>
      <c r="DL86" s="42">
        <f t="shared" si="40"/>
        <v>0</v>
      </c>
      <c r="DM86" s="42">
        <f t="shared" si="40"/>
        <v>0</v>
      </c>
      <c r="DN86" s="42">
        <f t="shared" si="40"/>
        <v>0</v>
      </c>
      <c r="DO86" s="42">
        <f t="shared" si="40"/>
        <v>0</v>
      </c>
      <c r="DP86" s="42">
        <f t="shared" si="40"/>
        <v>0</v>
      </c>
      <c r="DQ86" s="42">
        <f t="shared" si="40"/>
        <v>0</v>
      </c>
      <c r="DR86" s="42">
        <f t="shared" si="40"/>
        <v>0</v>
      </c>
      <c r="DS86" s="42">
        <f t="shared" si="40"/>
        <v>0</v>
      </c>
      <c r="DT86" s="42">
        <f t="shared" si="40"/>
        <v>0</v>
      </c>
      <c r="DU86" s="42">
        <f t="shared" si="40"/>
        <v>0</v>
      </c>
      <c r="DV86" s="42">
        <f t="shared" si="40"/>
        <v>0</v>
      </c>
      <c r="DW86" s="42">
        <f t="shared" si="40"/>
        <v>0</v>
      </c>
      <c r="DX86" s="42">
        <f t="shared" si="40"/>
        <v>0</v>
      </c>
      <c r="DY86" s="42">
        <f t="shared" si="40"/>
        <v>0</v>
      </c>
      <c r="DZ86" s="42">
        <f t="shared" si="40"/>
        <v>0</v>
      </c>
      <c r="EA86" s="42">
        <f t="shared" si="40"/>
        <v>0</v>
      </c>
      <c r="EB86" s="42">
        <f t="shared" si="40"/>
        <v>0</v>
      </c>
      <c r="EC86" s="42">
        <f t="shared" si="40"/>
        <v>0</v>
      </c>
      <c r="ED86" s="42">
        <f aca="true" t="shared" si="41" ref="ED86:GO86">ED87+ED88</f>
        <v>0</v>
      </c>
      <c r="EE86" s="42">
        <f t="shared" si="41"/>
        <v>0</v>
      </c>
      <c r="EF86" s="42">
        <f t="shared" si="41"/>
        <v>0</v>
      </c>
      <c r="EG86" s="42">
        <f t="shared" si="41"/>
        <v>0</v>
      </c>
      <c r="EH86" s="42">
        <f t="shared" si="41"/>
        <v>0</v>
      </c>
      <c r="EI86" s="42">
        <f t="shared" si="41"/>
        <v>0</v>
      </c>
      <c r="EJ86" s="42">
        <f t="shared" si="41"/>
        <v>0</v>
      </c>
      <c r="EK86" s="42">
        <f t="shared" si="41"/>
        <v>0</v>
      </c>
      <c r="EL86" s="42">
        <f t="shared" si="41"/>
        <v>0</v>
      </c>
      <c r="EM86" s="42">
        <f t="shared" si="41"/>
        <v>0</v>
      </c>
      <c r="EN86" s="42">
        <f t="shared" si="41"/>
        <v>0</v>
      </c>
      <c r="EO86" s="42">
        <f t="shared" si="41"/>
        <v>0</v>
      </c>
      <c r="EP86" s="42">
        <f t="shared" si="41"/>
        <v>0</v>
      </c>
      <c r="EQ86" s="42">
        <f t="shared" si="41"/>
        <v>0</v>
      </c>
      <c r="ER86" s="42">
        <f t="shared" si="41"/>
        <v>0</v>
      </c>
      <c r="ES86" s="42">
        <f t="shared" si="41"/>
        <v>0</v>
      </c>
      <c r="ET86" s="42">
        <f t="shared" si="41"/>
        <v>0</v>
      </c>
      <c r="EU86" s="42">
        <f t="shared" si="41"/>
        <v>0</v>
      </c>
      <c r="EV86" s="42">
        <f t="shared" si="41"/>
        <v>0</v>
      </c>
      <c r="EW86" s="42">
        <f t="shared" si="41"/>
        <v>0</v>
      </c>
      <c r="EX86" s="42">
        <f t="shared" si="41"/>
        <v>0</v>
      </c>
      <c r="EY86" s="42">
        <f t="shared" si="41"/>
        <v>0</v>
      </c>
      <c r="EZ86" s="42">
        <f t="shared" si="41"/>
        <v>0</v>
      </c>
      <c r="FA86" s="42">
        <f t="shared" si="41"/>
        <v>0</v>
      </c>
      <c r="FB86" s="42">
        <f t="shared" si="41"/>
        <v>0</v>
      </c>
      <c r="FC86" s="42">
        <f t="shared" si="41"/>
        <v>0</v>
      </c>
      <c r="FD86" s="42">
        <f t="shared" si="41"/>
        <v>0</v>
      </c>
      <c r="FE86" s="42">
        <f t="shared" si="41"/>
        <v>0</v>
      </c>
      <c r="FF86" s="42">
        <f t="shared" si="41"/>
        <v>0</v>
      </c>
      <c r="FG86" s="42">
        <f t="shared" si="41"/>
        <v>0</v>
      </c>
      <c r="FH86" s="42">
        <f t="shared" si="41"/>
        <v>0</v>
      </c>
      <c r="FI86" s="42">
        <f t="shared" si="41"/>
        <v>0</v>
      </c>
      <c r="FJ86" s="42">
        <f t="shared" si="41"/>
        <v>0</v>
      </c>
      <c r="FK86" s="42">
        <f t="shared" si="41"/>
        <v>0</v>
      </c>
      <c r="FL86" s="42">
        <f t="shared" si="41"/>
        <v>0</v>
      </c>
      <c r="FM86" s="42">
        <f t="shared" si="41"/>
        <v>0</v>
      </c>
      <c r="FN86" s="42">
        <f t="shared" si="41"/>
        <v>0</v>
      </c>
      <c r="FO86" s="42">
        <f t="shared" si="41"/>
        <v>0</v>
      </c>
      <c r="FP86" s="42">
        <f t="shared" si="41"/>
        <v>0</v>
      </c>
      <c r="FQ86" s="42">
        <f t="shared" si="41"/>
        <v>0</v>
      </c>
      <c r="FR86" s="42">
        <f t="shared" si="41"/>
        <v>0</v>
      </c>
      <c r="FS86" s="42">
        <f t="shared" si="41"/>
        <v>0</v>
      </c>
      <c r="FT86" s="42">
        <f t="shared" si="41"/>
        <v>0</v>
      </c>
      <c r="FU86" s="42">
        <f t="shared" si="41"/>
        <v>0</v>
      </c>
      <c r="FV86" s="42">
        <f t="shared" si="41"/>
        <v>0</v>
      </c>
      <c r="FW86" s="42">
        <f t="shared" si="41"/>
        <v>0</v>
      </c>
      <c r="FX86" s="42">
        <f t="shared" si="41"/>
        <v>0</v>
      </c>
      <c r="FY86" s="42">
        <f t="shared" si="41"/>
        <v>0</v>
      </c>
      <c r="FZ86" s="42">
        <f t="shared" si="41"/>
        <v>0</v>
      </c>
      <c r="GA86" s="42">
        <f t="shared" si="41"/>
        <v>0</v>
      </c>
      <c r="GB86" s="42">
        <f t="shared" si="41"/>
        <v>0</v>
      </c>
      <c r="GC86" s="42">
        <f t="shared" si="41"/>
        <v>0</v>
      </c>
      <c r="GD86" s="42">
        <f t="shared" si="41"/>
        <v>0</v>
      </c>
      <c r="GE86" s="42">
        <f t="shared" si="41"/>
        <v>0</v>
      </c>
      <c r="GF86" s="42">
        <f t="shared" si="41"/>
        <v>0</v>
      </c>
      <c r="GG86" s="42">
        <f t="shared" si="41"/>
        <v>0</v>
      </c>
      <c r="GH86" s="42">
        <f t="shared" si="41"/>
        <v>0</v>
      </c>
      <c r="GI86" s="42">
        <f t="shared" si="41"/>
        <v>0</v>
      </c>
      <c r="GJ86" s="42">
        <f t="shared" si="41"/>
        <v>0</v>
      </c>
      <c r="GK86" s="42">
        <f t="shared" si="41"/>
        <v>0</v>
      </c>
      <c r="GL86" s="42">
        <f t="shared" si="41"/>
        <v>0</v>
      </c>
      <c r="GM86" s="42">
        <f t="shared" si="41"/>
        <v>0</v>
      </c>
      <c r="GN86" s="42">
        <f t="shared" si="41"/>
        <v>0</v>
      </c>
      <c r="GO86" s="42">
        <f t="shared" si="41"/>
        <v>0</v>
      </c>
      <c r="GP86" s="42">
        <f aca="true" t="shared" si="42" ref="GP86:HX86">GP87+GP88</f>
        <v>0</v>
      </c>
      <c r="GQ86" s="42">
        <f t="shared" si="42"/>
        <v>0</v>
      </c>
      <c r="GR86" s="42">
        <f t="shared" si="42"/>
        <v>0</v>
      </c>
      <c r="GS86" s="42">
        <f t="shared" si="42"/>
        <v>0</v>
      </c>
      <c r="GT86" s="42">
        <f t="shared" si="42"/>
        <v>0</v>
      </c>
      <c r="GU86" s="42">
        <f t="shared" si="42"/>
        <v>0</v>
      </c>
      <c r="GV86" s="42">
        <f t="shared" si="42"/>
        <v>0</v>
      </c>
      <c r="GW86" s="42">
        <f t="shared" si="42"/>
        <v>0</v>
      </c>
      <c r="GX86" s="42">
        <f t="shared" si="42"/>
        <v>0</v>
      </c>
      <c r="GY86" s="42">
        <f t="shared" si="42"/>
        <v>0</v>
      </c>
      <c r="GZ86" s="42">
        <f t="shared" si="42"/>
        <v>0</v>
      </c>
      <c r="HA86" s="42">
        <f t="shared" si="42"/>
        <v>0</v>
      </c>
      <c r="HB86" s="42">
        <f t="shared" si="42"/>
        <v>0</v>
      </c>
      <c r="HC86" s="42">
        <f t="shared" si="42"/>
        <v>0</v>
      </c>
      <c r="HD86" s="42">
        <f t="shared" si="42"/>
        <v>0</v>
      </c>
      <c r="HE86" s="42">
        <f t="shared" si="42"/>
        <v>0</v>
      </c>
      <c r="HF86" s="42">
        <f t="shared" si="42"/>
        <v>0</v>
      </c>
      <c r="HG86" s="42">
        <f t="shared" si="42"/>
        <v>0</v>
      </c>
      <c r="HH86" s="42">
        <f t="shared" si="42"/>
        <v>0</v>
      </c>
      <c r="HI86" s="42">
        <f t="shared" si="42"/>
        <v>0</v>
      </c>
      <c r="HJ86" s="42">
        <f t="shared" si="42"/>
        <v>0</v>
      </c>
      <c r="HK86" s="42">
        <f t="shared" si="42"/>
        <v>0</v>
      </c>
      <c r="HL86" s="42">
        <f t="shared" si="42"/>
        <v>0</v>
      </c>
      <c r="HM86" s="42">
        <f t="shared" si="42"/>
        <v>0</v>
      </c>
      <c r="HN86" s="42">
        <f t="shared" si="42"/>
        <v>0</v>
      </c>
      <c r="HO86" s="42">
        <f t="shared" si="42"/>
        <v>0</v>
      </c>
      <c r="HP86" s="42">
        <f t="shared" si="42"/>
        <v>0</v>
      </c>
      <c r="HQ86" s="42">
        <f t="shared" si="42"/>
        <v>0</v>
      </c>
      <c r="HR86" s="42">
        <f t="shared" si="42"/>
        <v>0</v>
      </c>
      <c r="HS86" s="42">
        <f t="shared" si="42"/>
        <v>0</v>
      </c>
      <c r="HT86" s="42">
        <f t="shared" si="42"/>
        <v>0</v>
      </c>
      <c r="HU86" s="42">
        <f t="shared" si="42"/>
        <v>0</v>
      </c>
      <c r="HV86" s="42">
        <f t="shared" si="42"/>
        <v>0</v>
      </c>
      <c r="HW86" s="42">
        <f t="shared" si="42"/>
        <v>0</v>
      </c>
      <c r="HX86" s="42">
        <f t="shared" si="42"/>
        <v>0</v>
      </c>
    </row>
    <row r="87" spans="1:232" ht="12.75">
      <c r="A87" s="2" t="s">
        <v>330</v>
      </c>
      <c r="B87" s="3" t="s">
        <v>339</v>
      </c>
      <c r="C87" s="4" t="s">
        <v>0</v>
      </c>
      <c r="D87" s="31">
        <f>E87+F87</f>
        <v>0</v>
      </c>
      <c r="E87" s="18">
        <f>SUM(G87:HX87)</f>
        <v>0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</row>
    <row r="88" spans="1:232" ht="12.75">
      <c r="A88" s="2" t="s">
        <v>331</v>
      </c>
      <c r="B88" s="3" t="s">
        <v>340</v>
      </c>
      <c r="C88" s="4" t="s">
        <v>0</v>
      </c>
      <c r="D88" s="31">
        <f>E88+F88</f>
        <v>991.562</v>
      </c>
      <c r="E88" s="18">
        <v>991.562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</row>
    <row r="89" spans="1:232" ht="16.5" customHeight="1">
      <c r="A89" s="2" t="s">
        <v>332</v>
      </c>
      <c r="B89" s="3" t="s">
        <v>67</v>
      </c>
      <c r="C89" s="4" t="s">
        <v>0</v>
      </c>
      <c r="D89" s="18">
        <f>E89+F89</f>
        <v>12248.551999999996</v>
      </c>
      <c r="E89" s="18">
        <f>SUM(G89:HX89)</f>
        <v>12248.551999999996</v>
      </c>
      <c r="F89" s="18"/>
      <c r="G89" s="18"/>
      <c r="H89" s="18">
        <v>49.63</v>
      </c>
      <c r="I89" s="18">
        <f>4.38+31.52-20.04</f>
        <v>15.86</v>
      </c>
      <c r="J89" s="18">
        <f>15.89-14.01</f>
        <v>1.8800000000000008</v>
      </c>
      <c r="K89" s="18">
        <f>53.82+5.79-26.17</f>
        <v>33.44</v>
      </c>
      <c r="L89" s="18">
        <f>25.65-17.26</f>
        <v>8.389999999999997</v>
      </c>
      <c r="M89" s="18"/>
      <c r="N89" s="18">
        <f>63.45-49.35</f>
        <v>14.100000000000001</v>
      </c>
      <c r="O89" s="18">
        <f>49.04-8.01</f>
        <v>41.03</v>
      </c>
      <c r="P89" s="18">
        <v>46.609</v>
      </c>
      <c r="Q89" s="18">
        <v>72.35</v>
      </c>
      <c r="R89" s="18">
        <f>6.57+31.72</f>
        <v>38.29</v>
      </c>
      <c r="S89" s="18">
        <f>8.76+11.76</f>
        <v>20.52</v>
      </c>
      <c r="T89" s="18">
        <f>63.87-57.64</f>
        <v>6.229999999999997</v>
      </c>
      <c r="U89" s="18">
        <v>40.4</v>
      </c>
      <c r="V89" s="18">
        <v>84.42</v>
      </c>
      <c r="W89" s="18">
        <f>6.57-0.46</f>
        <v>6.11</v>
      </c>
      <c r="X89" s="18">
        <v>62.69</v>
      </c>
      <c r="Y89" s="18">
        <v>300.35</v>
      </c>
      <c r="Z89" s="18">
        <v>62.69</v>
      </c>
      <c r="AA89" s="18">
        <v>116.04</v>
      </c>
      <c r="AB89" s="18">
        <v>55.4</v>
      </c>
      <c r="AC89" s="18"/>
      <c r="AD89" s="18">
        <v>16.11</v>
      </c>
      <c r="AE89" s="18">
        <v>58.37</v>
      </c>
      <c r="AF89" s="18">
        <f>4.38+14.825</f>
        <v>19.205</v>
      </c>
      <c r="AG89" s="18">
        <f>4.38+18.82</f>
        <v>23.2</v>
      </c>
      <c r="AH89" s="18">
        <v>79.32</v>
      </c>
      <c r="AI89" s="18"/>
      <c r="AJ89" s="18">
        <v>24.69</v>
      </c>
      <c r="AK89" s="18">
        <v>109.88</v>
      </c>
      <c r="AL89" s="18">
        <v>64.54</v>
      </c>
      <c r="AM89" s="18">
        <v>17.53</v>
      </c>
      <c r="AN89" s="18"/>
      <c r="AO89" s="18">
        <v>24</v>
      </c>
      <c r="AP89" s="18">
        <f>1.31+37.08-0.8</f>
        <v>37.59</v>
      </c>
      <c r="AQ89" s="18">
        <v>49.7</v>
      </c>
      <c r="AR89" s="18"/>
      <c r="AS89" s="18">
        <v>75.54</v>
      </c>
      <c r="AT89" s="18">
        <v>117.21</v>
      </c>
      <c r="AU89" s="18">
        <f>13.26-10.31</f>
        <v>2.9499999999999993</v>
      </c>
      <c r="AV89" s="18">
        <v>101.2</v>
      </c>
      <c r="AW89" s="18">
        <v>55.57</v>
      </c>
      <c r="AX89" s="18"/>
      <c r="AY89" s="18">
        <v>84.76</v>
      </c>
      <c r="AZ89" s="18">
        <v>42</v>
      </c>
      <c r="BA89" s="18"/>
      <c r="BB89" s="18">
        <v>73.95</v>
      </c>
      <c r="BC89" s="18">
        <v>110.23</v>
      </c>
      <c r="BD89" s="18"/>
      <c r="BE89" s="18"/>
      <c r="BF89" s="18"/>
      <c r="BG89" s="18"/>
      <c r="BH89" s="18">
        <v>136.6</v>
      </c>
      <c r="BI89" s="18"/>
      <c r="BJ89" s="18"/>
      <c r="BK89" s="18"/>
      <c r="BL89" s="18"/>
      <c r="BM89" s="18">
        <f>9.06-1.11</f>
        <v>7.95</v>
      </c>
      <c r="BN89" s="18">
        <v>53.63</v>
      </c>
      <c r="BO89" s="18">
        <v>108.52</v>
      </c>
      <c r="BP89" s="18">
        <v>49.37</v>
      </c>
      <c r="BQ89" s="18"/>
      <c r="BR89" s="18">
        <v>55.1</v>
      </c>
      <c r="BS89" s="18"/>
      <c r="BT89" s="18">
        <v>132.7</v>
      </c>
      <c r="BU89" s="18">
        <v>117.07</v>
      </c>
      <c r="BV89" s="18"/>
      <c r="BW89" s="18"/>
      <c r="BX89" s="18"/>
      <c r="BY89" s="18"/>
      <c r="BZ89" s="18"/>
      <c r="CA89" s="18">
        <v>130</v>
      </c>
      <c r="CB89" s="18">
        <f>6.57+10.07</f>
        <v>16.64</v>
      </c>
      <c r="CC89" s="18">
        <v>55.95</v>
      </c>
      <c r="CD89" s="18">
        <v>28.1</v>
      </c>
      <c r="CE89" s="18"/>
      <c r="CF89" s="18"/>
      <c r="CG89" s="18">
        <v>50.75</v>
      </c>
      <c r="CH89" s="18"/>
      <c r="CI89" s="18">
        <v>100.8</v>
      </c>
      <c r="CJ89" s="18"/>
      <c r="CK89" s="18">
        <f>45.32-11.22</f>
        <v>34.1</v>
      </c>
      <c r="CL89" s="18"/>
      <c r="CM89" s="18"/>
      <c r="CN89" s="18">
        <f>34.7-0.52</f>
        <v>34.18</v>
      </c>
      <c r="CO89" s="18">
        <f>51.83-1.66</f>
        <v>50.17</v>
      </c>
      <c r="CP89" s="18"/>
      <c r="CQ89" s="18"/>
      <c r="CR89" s="18"/>
      <c r="CS89" s="18">
        <f>1.752-0.59</f>
        <v>1.162</v>
      </c>
      <c r="CT89" s="18"/>
      <c r="CU89" s="18">
        <v>42.82</v>
      </c>
      <c r="CV89" s="18"/>
      <c r="CW89" s="18"/>
      <c r="CX89" s="18"/>
      <c r="CY89" s="18">
        <v>73.3</v>
      </c>
      <c r="CZ89" s="18"/>
      <c r="DA89" s="18">
        <v>264.47</v>
      </c>
      <c r="DB89" s="18"/>
      <c r="DC89" s="18"/>
      <c r="DD89" s="18"/>
      <c r="DE89" s="18">
        <v>34.435</v>
      </c>
      <c r="DF89" s="18">
        <v>53.62</v>
      </c>
      <c r="DG89" s="18">
        <v>437.24</v>
      </c>
      <c r="DH89" s="18">
        <v>607.5</v>
      </c>
      <c r="DI89" s="18">
        <f>685.6-112.062</f>
        <v>573.538</v>
      </c>
      <c r="DJ89" s="18">
        <v>262.7</v>
      </c>
      <c r="DK89" s="18">
        <v>218.11</v>
      </c>
      <c r="DL89" s="18">
        <v>359.8</v>
      </c>
      <c r="DM89" s="18"/>
      <c r="DN89" s="18">
        <v>66.24</v>
      </c>
      <c r="DO89" s="18">
        <f>56.215-16.03</f>
        <v>40.185</v>
      </c>
      <c r="DP89" s="18">
        <v>39.155</v>
      </c>
      <c r="DQ89" s="18"/>
      <c r="DR89" s="18">
        <v>5</v>
      </c>
      <c r="DS89" s="18">
        <v>12.925</v>
      </c>
      <c r="DT89" s="18"/>
      <c r="DU89" s="18">
        <v>605.11</v>
      </c>
      <c r="DV89" s="18">
        <v>98.15</v>
      </c>
      <c r="DW89" s="18"/>
      <c r="DX89" s="18">
        <v>144.59</v>
      </c>
      <c r="DY89" s="18">
        <v>169.8</v>
      </c>
      <c r="DZ89" s="18">
        <v>170.35</v>
      </c>
      <c r="EA89" s="18">
        <v>170.3</v>
      </c>
      <c r="EB89" s="18">
        <v>114.46</v>
      </c>
      <c r="EC89" s="18">
        <f>77.19-11.19</f>
        <v>66</v>
      </c>
      <c r="ED89" s="18">
        <v>179.44</v>
      </c>
      <c r="EE89" s="18">
        <v>145.72</v>
      </c>
      <c r="EF89" s="18">
        <v>44.2</v>
      </c>
      <c r="EG89" s="18">
        <v>51.87</v>
      </c>
      <c r="EH89" s="18">
        <f>2.19+0.505-1.6</f>
        <v>1.0949999999999998</v>
      </c>
      <c r="EI89" s="18">
        <v>42.81</v>
      </c>
      <c r="EJ89" s="18"/>
      <c r="EK89" s="18">
        <f>50.09-2</f>
        <v>48.09</v>
      </c>
      <c r="EL89" s="18">
        <v>120.5</v>
      </c>
      <c r="EM89" s="18">
        <f>41.45-4.49</f>
        <v>36.96</v>
      </c>
      <c r="EN89" s="18">
        <v>48.8</v>
      </c>
      <c r="EO89" s="18">
        <f>96.67+7.41</f>
        <v>104.08</v>
      </c>
      <c r="EP89" s="18">
        <v>23.32</v>
      </c>
      <c r="EQ89" s="18">
        <v>0.325</v>
      </c>
      <c r="ER89" s="18"/>
      <c r="ES89" s="18">
        <f>371.66-33.64-24.22</f>
        <v>313.80000000000007</v>
      </c>
      <c r="ET89" s="18">
        <v>44.29</v>
      </c>
      <c r="EU89" s="18"/>
      <c r="EV89" s="18">
        <v>7.16</v>
      </c>
      <c r="EW89" s="18">
        <v>75.44</v>
      </c>
      <c r="EX89" s="18">
        <v>1.75</v>
      </c>
      <c r="EY89" s="18"/>
      <c r="EZ89" s="18"/>
      <c r="FA89" s="18"/>
      <c r="FB89" s="18">
        <v>0</v>
      </c>
      <c r="FC89" s="18"/>
      <c r="FD89" s="18">
        <v>0.616</v>
      </c>
      <c r="FE89" s="18">
        <f>85.35-13.79</f>
        <v>71.56</v>
      </c>
      <c r="FF89" s="18">
        <v>706.8</v>
      </c>
      <c r="FG89" s="18"/>
      <c r="FH89" s="18"/>
      <c r="FI89" s="18">
        <f>44.74-10.34</f>
        <v>34.400000000000006</v>
      </c>
      <c r="FJ89" s="18"/>
      <c r="FK89" s="18">
        <v>126.6</v>
      </c>
      <c r="FL89" s="18"/>
      <c r="FM89" s="18"/>
      <c r="FN89" s="18"/>
      <c r="FO89" s="18"/>
      <c r="FP89" s="18">
        <f>2.036+38.155-11.97</f>
        <v>28.221000000000004</v>
      </c>
      <c r="FQ89" s="18">
        <v>73.49</v>
      </c>
      <c r="FR89" s="18"/>
      <c r="FS89" s="18">
        <f>62.74-4.25</f>
        <v>58.49</v>
      </c>
      <c r="FT89" s="18">
        <v>92.71</v>
      </c>
      <c r="FU89" s="18">
        <v>84.3</v>
      </c>
      <c r="FV89" s="18">
        <f>4.38+12.975</f>
        <v>17.355</v>
      </c>
      <c r="FW89" s="18">
        <v>0.28</v>
      </c>
      <c r="FX89" s="18"/>
      <c r="FY89" s="18">
        <v>0.04</v>
      </c>
      <c r="FZ89" s="18"/>
      <c r="GA89" s="18"/>
      <c r="GB89" s="18">
        <f>1.31+34.59-4.81</f>
        <v>31.090000000000007</v>
      </c>
      <c r="GC89" s="18"/>
      <c r="GD89" s="18"/>
      <c r="GE89" s="18">
        <v>16.99</v>
      </c>
      <c r="GF89" s="18">
        <v>2.24</v>
      </c>
      <c r="GG89" s="18">
        <f>4.38+29.9</f>
        <v>34.28</v>
      </c>
      <c r="GH89" s="18">
        <v>74.46</v>
      </c>
      <c r="GI89" s="18">
        <v>95.2</v>
      </c>
      <c r="GJ89" s="18"/>
      <c r="GK89" s="18">
        <f>2.63+1.44</f>
        <v>4.07</v>
      </c>
      <c r="GL89" s="18"/>
      <c r="GM89" s="18">
        <v>15.35</v>
      </c>
      <c r="GN89" s="18"/>
      <c r="GO89" s="18">
        <f>3.5+27.85</f>
        <v>31.35</v>
      </c>
      <c r="GP89" s="18">
        <f>2.19+24.425</f>
        <v>26.615000000000002</v>
      </c>
      <c r="GQ89" s="18"/>
      <c r="GR89" s="18">
        <v>53.97</v>
      </c>
      <c r="GS89" s="18">
        <v>1.17</v>
      </c>
      <c r="GT89" s="18"/>
      <c r="GU89" s="18">
        <v>95.95</v>
      </c>
      <c r="GV89" s="18">
        <f>1.752+1.18</f>
        <v>2.932</v>
      </c>
      <c r="GW89" s="18"/>
      <c r="GX89" s="18"/>
      <c r="GY89" s="18">
        <f>3.2-1.61</f>
        <v>1.59</v>
      </c>
      <c r="GZ89" s="18">
        <v>44.03</v>
      </c>
      <c r="HA89" s="18">
        <v>54.51</v>
      </c>
      <c r="HB89" s="18">
        <v>124.19</v>
      </c>
      <c r="HC89" s="18"/>
      <c r="HD89" s="18">
        <v>93.72</v>
      </c>
      <c r="HE89" s="18">
        <v>37.49</v>
      </c>
      <c r="HF89" s="18"/>
      <c r="HG89" s="18">
        <v>310.3</v>
      </c>
      <c r="HH89" s="18"/>
      <c r="HI89" s="18"/>
      <c r="HJ89" s="18"/>
      <c r="HK89" s="18">
        <v>112.24</v>
      </c>
      <c r="HL89" s="18">
        <v>51.195</v>
      </c>
      <c r="HM89" s="18">
        <v>2.92</v>
      </c>
      <c r="HN89" s="18">
        <f>4.38+4.49</f>
        <v>8.870000000000001</v>
      </c>
      <c r="HO89" s="18">
        <v>17.309</v>
      </c>
      <c r="HP89" s="18">
        <f>4.38+3.37</f>
        <v>7.75</v>
      </c>
      <c r="HQ89" s="18">
        <v>61.97</v>
      </c>
      <c r="HR89" s="18">
        <v>32.37</v>
      </c>
      <c r="HS89" s="18">
        <v>76.43</v>
      </c>
      <c r="HT89" s="18">
        <v>31.36</v>
      </c>
      <c r="HU89" s="18">
        <v>52.14</v>
      </c>
      <c r="HV89" s="18">
        <v>1.425</v>
      </c>
      <c r="HW89" s="18"/>
      <c r="HX89" s="18"/>
    </row>
    <row r="90" spans="1:232" ht="16.5" customHeight="1">
      <c r="A90" s="12"/>
      <c r="B90" s="3" t="s">
        <v>14</v>
      </c>
      <c r="C90" s="4" t="s">
        <v>0</v>
      </c>
      <c r="D90" s="31">
        <f>E90+F90</f>
        <v>60943.23099999997</v>
      </c>
      <c r="E90" s="31">
        <f>E89+E86+E79+E64+E5</f>
        <v>60943.23099999997</v>
      </c>
      <c r="F90" s="31">
        <f>F89+F86+F79+F64+F5</f>
        <v>0</v>
      </c>
      <c r="G90" s="31">
        <f aca="true" t="shared" si="43" ref="G90:BQ90">G89+G86+G79+G64+G5</f>
        <v>282.791</v>
      </c>
      <c r="H90" s="31">
        <f t="shared" si="43"/>
        <v>147.037</v>
      </c>
      <c r="I90" s="31">
        <f t="shared" si="43"/>
        <v>113.57000000000001</v>
      </c>
      <c r="J90" s="31">
        <f t="shared" si="43"/>
        <v>63.581</v>
      </c>
      <c r="K90" s="31">
        <f t="shared" si="43"/>
        <v>215.314</v>
      </c>
      <c r="L90" s="31">
        <f t="shared" si="43"/>
        <v>102.593</v>
      </c>
      <c r="M90" s="31">
        <f t="shared" si="43"/>
        <v>203.304</v>
      </c>
      <c r="N90" s="31">
        <f t="shared" si="43"/>
        <v>253.83800000000002</v>
      </c>
      <c r="O90" s="31">
        <f t="shared" si="43"/>
        <v>143.868</v>
      </c>
      <c r="P90" s="31">
        <f t="shared" si="43"/>
        <v>341.254</v>
      </c>
      <c r="Q90" s="31">
        <f t="shared" si="43"/>
        <v>270.36199999999997</v>
      </c>
      <c r="R90" s="31">
        <f t="shared" si="43"/>
        <v>255.235</v>
      </c>
      <c r="S90" s="31">
        <f t="shared" si="43"/>
        <v>253.285</v>
      </c>
      <c r="T90" s="31">
        <f t="shared" si="43"/>
        <v>255.48199999999997</v>
      </c>
      <c r="U90" s="31">
        <f t="shared" si="43"/>
        <v>210.8</v>
      </c>
      <c r="V90" s="31">
        <f t="shared" si="43"/>
        <v>201.562</v>
      </c>
      <c r="W90" s="31">
        <f t="shared" si="43"/>
        <v>97.903</v>
      </c>
      <c r="X90" s="31">
        <f t="shared" si="43"/>
        <v>121.95</v>
      </c>
      <c r="Y90" s="31">
        <f t="shared" si="43"/>
        <v>300.35</v>
      </c>
      <c r="Z90" s="31">
        <f t="shared" si="43"/>
        <v>140.22899999999998</v>
      </c>
      <c r="AA90" s="31">
        <f t="shared" si="43"/>
        <v>227.11800000000002</v>
      </c>
      <c r="AB90" s="31">
        <f t="shared" si="43"/>
        <v>121.19</v>
      </c>
      <c r="AC90" s="31">
        <f t="shared" si="43"/>
        <v>442.403</v>
      </c>
      <c r="AD90" s="31">
        <f t="shared" si="43"/>
        <v>272.976</v>
      </c>
      <c r="AE90" s="31">
        <f t="shared" si="43"/>
        <v>138.926</v>
      </c>
      <c r="AF90" s="31">
        <f t="shared" si="43"/>
        <v>80.037</v>
      </c>
      <c r="AG90" s="31">
        <f t="shared" si="43"/>
        <v>84.368</v>
      </c>
      <c r="AH90" s="31">
        <f t="shared" si="43"/>
        <v>173.114</v>
      </c>
      <c r="AI90" s="31">
        <f t="shared" si="43"/>
        <v>186.508</v>
      </c>
      <c r="AJ90" s="31">
        <f t="shared" si="43"/>
        <v>82.593</v>
      </c>
      <c r="AK90" s="31">
        <f t="shared" si="43"/>
        <v>177.79500000000002</v>
      </c>
      <c r="AL90" s="31">
        <f t="shared" si="43"/>
        <v>152.504</v>
      </c>
      <c r="AM90" s="31">
        <f t="shared" si="43"/>
        <v>48.645999999999994</v>
      </c>
      <c r="AN90" s="31">
        <f t="shared" si="43"/>
        <v>424.34900000000005</v>
      </c>
      <c r="AO90" s="31">
        <f t="shared" si="43"/>
        <v>72.295</v>
      </c>
      <c r="AP90" s="31">
        <f t="shared" si="43"/>
        <v>160.386</v>
      </c>
      <c r="AQ90" s="31">
        <f t="shared" si="43"/>
        <v>293.647</v>
      </c>
      <c r="AR90" s="31">
        <f t="shared" si="43"/>
        <v>248.415</v>
      </c>
      <c r="AS90" s="31">
        <f t="shared" si="43"/>
        <v>125.361</v>
      </c>
      <c r="AT90" s="31">
        <f t="shared" si="43"/>
        <v>192.09099999999998</v>
      </c>
      <c r="AU90" s="31">
        <f t="shared" si="43"/>
        <v>53.04</v>
      </c>
      <c r="AV90" s="31">
        <f t="shared" si="43"/>
        <v>199.769</v>
      </c>
      <c r="AW90" s="31">
        <f t="shared" si="43"/>
        <v>150.532</v>
      </c>
      <c r="AX90" s="31">
        <f t="shared" si="43"/>
        <v>280.80699999999996</v>
      </c>
      <c r="AY90" s="31">
        <f t="shared" si="43"/>
        <v>229.82100000000003</v>
      </c>
      <c r="AZ90" s="31">
        <f t="shared" si="43"/>
        <v>138.60999999999999</v>
      </c>
      <c r="BA90" s="31">
        <f t="shared" si="43"/>
        <v>129.599</v>
      </c>
      <c r="BB90" s="31">
        <f t="shared" si="43"/>
        <v>168.15300000000002</v>
      </c>
      <c r="BC90" s="31">
        <f t="shared" si="43"/>
        <v>373.139</v>
      </c>
      <c r="BD90" s="31">
        <f t="shared" si="43"/>
        <v>45.418</v>
      </c>
      <c r="BE90" s="31">
        <f t="shared" si="43"/>
        <v>33.164</v>
      </c>
      <c r="BF90" s="31">
        <f t="shared" si="43"/>
        <v>47.609</v>
      </c>
      <c r="BG90" s="31">
        <f t="shared" si="43"/>
        <v>57.002</v>
      </c>
      <c r="BH90" s="31">
        <f t="shared" si="43"/>
        <v>351.73900000000003</v>
      </c>
      <c r="BI90" s="31">
        <f t="shared" si="43"/>
        <v>145.631</v>
      </c>
      <c r="BJ90" s="31">
        <f t="shared" si="43"/>
        <v>388.28400000000005</v>
      </c>
      <c r="BK90" s="31">
        <f t="shared" si="43"/>
        <v>268.645</v>
      </c>
      <c r="BL90" s="31">
        <f t="shared" si="43"/>
        <v>32.673</v>
      </c>
      <c r="BM90" s="31">
        <f t="shared" si="43"/>
        <v>88.084</v>
      </c>
      <c r="BN90" s="31">
        <f t="shared" si="43"/>
        <v>68.09700000000001</v>
      </c>
      <c r="BO90" s="31">
        <f t="shared" si="43"/>
        <v>264.32</v>
      </c>
      <c r="BP90" s="31">
        <f t="shared" si="43"/>
        <v>389.78200000000004</v>
      </c>
      <c r="BQ90" s="31">
        <f t="shared" si="43"/>
        <v>725.7290000000002</v>
      </c>
      <c r="BR90" s="31">
        <f aca="true" t="shared" si="44" ref="BR90:EC90">BR89+BR86+BR79+BR64+BR5</f>
        <v>132.95</v>
      </c>
      <c r="BS90" s="31">
        <f t="shared" si="44"/>
        <v>18.044999999999998</v>
      </c>
      <c r="BT90" s="31">
        <f t="shared" si="44"/>
        <v>272.197</v>
      </c>
      <c r="BU90" s="31">
        <f t="shared" si="44"/>
        <v>280.361</v>
      </c>
      <c r="BV90" s="31">
        <f t="shared" si="44"/>
        <v>20.853</v>
      </c>
      <c r="BW90" s="31">
        <f t="shared" si="44"/>
        <v>345.28000000000003</v>
      </c>
      <c r="BX90" s="31">
        <f t="shared" si="44"/>
        <v>276.7</v>
      </c>
      <c r="BY90" s="31">
        <f t="shared" si="44"/>
        <v>432.642</v>
      </c>
      <c r="BZ90" s="31">
        <f t="shared" si="44"/>
        <v>407.244</v>
      </c>
      <c r="CA90" s="31">
        <f t="shared" si="44"/>
        <v>256.394</v>
      </c>
      <c r="CB90" s="31">
        <f t="shared" si="44"/>
        <v>255.24300000000002</v>
      </c>
      <c r="CC90" s="31">
        <f t="shared" si="44"/>
        <v>135.81400000000002</v>
      </c>
      <c r="CD90" s="31">
        <f t="shared" si="44"/>
        <v>95.861</v>
      </c>
      <c r="CE90" s="31">
        <f t="shared" si="44"/>
        <v>269.659</v>
      </c>
      <c r="CF90" s="31">
        <f t="shared" si="44"/>
        <v>96.319</v>
      </c>
      <c r="CG90" s="31">
        <f t="shared" si="44"/>
        <v>151.728</v>
      </c>
      <c r="CH90" s="31">
        <f t="shared" si="44"/>
        <v>337.129</v>
      </c>
      <c r="CI90" s="31">
        <f t="shared" si="44"/>
        <v>240.354</v>
      </c>
      <c r="CJ90" s="31">
        <f t="shared" si="44"/>
        <v>393.58299999999997</v>
      </c>
      <c r="CK90" s="31">
        <f t="shared" si="44"/>
        <v>154.902</v>
      </c>
      <c r="CL90" s="31">
        <f t="shared" si="44"/>
        <v>126.8</v>
      </c>
      <c r="CM90" s="31">
        <f t="shared" si="44"/>
        <v>294.50800000000004</v>
      </c>
      <c r="CN90" s="31">
        <f t="shared" si="44"/>
        <v>138.99200000000002</v>
      </c>
      <c r="CO90" s="31">
        <f t="shared" si="44"/>
        <v>138.437</v>
      </c>
      <c r="CP90" s="31">
        <f t="shared" si="44"/>
        <v>360.326</v>
      </c>
      <c r="CQ90" s="31">
        <f t="shared" si="44"/>
        <v>274.094</v>
      </c>
      <c r="CR90" s="31">
        <f t="shared" si="44"/>
        <v>233.07999999999998</v>
      </c>
      <c r="CS90" s="31">
        <f t="shared" si="44"/>
        <v>252.36999999999998</v>
      </c>
      <c r="CT90" s="31">
        <f t="shared" si="44"/>
        <v>264.752</v>
      </c>
      <c r="CU90" s="31">
        <f t="shared" si="44"/>
        <v>142.828</v>
      </c>
      <c r="CV90" s="31">
        <f t="shared" si="44"/>
        <v>153.882</v>
      </c>
      <c r="CW90" s="31">
        <f t="shared" si="44"/>
        <v>449.59599999999995</v>
      </c>
      <c r="CX90" s="31">
        <f t="shared" si="44"/>
        <v>143.583</v>
      </c>
      <c r="CY90" s="31">
        <f t="shared" si="44"/>
        <v>170.56900000000002</v>
      </c>
      <c r="CZ90" s="31">
        <f t="shared" si="44"/>
        <v>152.88700000000003</v>
      </c>
      <c r="DA90" s="31">
        <f t="shared" si="44"/>
        <v>619.7800000000001</v>
      </c>
      <c r="DB90" s="31">
        <f t="shared" si="44"/>
        <v>198.161</v>
      </c>
      <c r="DC90" s="31">
        <f t="shared" si="44"/>
        <v>293.15599999999995</v>
      </c>
      <c r="DD90" s="31">
        <f t="shared" si="44"/>
        <v>226.931</v>
      </c>
      <c r="DE90" s="31">
        <f t="shared" si="44"/>
        <v>289.435</v>
      </c>
      <c r="DF90" s="31">
        <f t="shared" si="44"/>
        <v>284.377</v>
      </c>
      <c r="DG90" s="31">
        <f t="shared" si="44"/>
        <v>1781.192</v>
      </c>
      <c r="DH90" s="31">
        <f t="shared" si="44"/>
        <v>963.38</v>
      </c>
      <c r="DI90" s="31">
        <f t="shared" si="44"/>
        <v>1714.3829999999998</v>
      </c>
      <c r="DJ90" s="31">
        <f t="shared" si="44"/>
        <v>433.84099999999995</v>
      </c>
      <c r="DK90" s="31">
        <f t="shared" si="44"/>
        <v>1725.842</v>
      </c>
      <c r="DL90" s="31">
        <f t="shared" si="44"/>
        <v>476.36400000000003</v>
      </c>
      <c r="DM90" s="31">
        <f t="shared" si="44"/>
        <v>241.73000000000002</v>
      </c>
      <c r="DN90" s="31">
        <f t="shared" si="44"/>
        <v>156.053</v>
      </c>
      <c r="DO90" s="31">
        <f t="shared" si="44"/>
        <v>213.849</v>
      </c>
      <c r="DP90" s="31">
        <f t="shared" si="44"/>
        <v>154.34900000000002</v>
      </c>
      <c r="DQ90" s="31">
        <f t="shared" si="44"/>
        <v>278.639</v>
      </c>
      <c r="DR90" s="31">
        <f t="shared" si="44"/>
        <v>177.031</v>
      </c>
      <c r="DS90" s="31">
        <f t="shared" si="44"/>
        <v>1062.774</v>
      </c>
      <c r="DT90" s="31">
        <f t="shared" si="44"/>
        <v>756.6839999999999</v>
      </c>
      <c r="DU90" s="31">
        <f t="shared" si="44"/>
        <v>998.5160000000001</v>
      </c>
      <c r="DV90" s="31">
        <f t="shared" si="44"/>
        <v>184.30100000000002</v>
      </c>
      <c r="DW90" s="31">
        <f t="shared" si="44"/>
        <v>715.3249999999999</v>
      </c>
      <c r="DX90" s="31">
        <f t="shared" si="44"/>
        <v>2114.699</v>
      </c>
      <c r="DY90" s="31">
        <f t="shared" si="44"/>
        <v>344.031</v>
      </c>
      <c r="DZ90" s="31">
        <f t="shared" si="44"/>
        <v>316.86</v>
      </c>
      <c r="EA90" s="31">
        <f t="shared" si="44"/>
        <v>319.959</v>
      </c>
      <c r="EB90" s="31">
        <f t="shared" si="44"/>
        <v>215.62699999999998</v>
      </c>
      <c r="EC90" s="31">
        <f t="shared" si="44"/>
        <v>280.173</v>
      </c>
      <c r="ED90" s="31">
        <f aca="true" t="shared" si="45" ref="ED90:GO90">ED89+ED86+ED79+ED64+ED5</f>
        <v>256.972</v>
      </c>
      <c r="EE90" s="31">
        <f t="shared" si="45"/>
        <v>285.204</v>
      </c>
      <c r="EF90" s="31">
        <f t="shared" si="45"/>
        <v>143.553</v>
      </c>
      <c r="EG90" s="31">
        <f t="shared" si="45"/>
        <v>156.28000000000003</v>
      </c>
      <c r="EH90" s="31">
        <f t="shared" si="45"/>
        <v>59.861000000000004</v>
      </c>
      <c r="EI90" s="31">
        <f t="shared" si="45"/>
        <v>143.19100000000003</v>
      </c>
      <c r="EJ90" s="31">
        <f t="shared" si="45"/>
        <v>143.13100000000003</v>
      </c>
      <c r="EK90" s="31">
        <f t="shared" si="45"/>
        <v>143.805</v>
      </c>
      <c r="EL90" s="31">
        <f t="shared" si="45"/>
        <v>242.321</v>
      </c>
      <c r="EM90" s="31">
        <f t="shared" si="45"/>
        <v>187.51</v>
      </c>
      <c r="EN90" s="31">
        <f t="shared" si="45"/>
        <v>111.08600000000001</v>
      </c>
      <c r="EO90" s="31">
        <f t="shared" si="45"/>
        <v>241.64999999999998</v>
      </c>
      <c r="EP90" s="31">
        <f t="shared" si="45"/>
        <v>116.98499999999999</v>
      </c>
      <c r="EQ90" s="31">
        <f t="shared" si="45"/>
        <v>131.123</v>
      </c>
      <c r="ER90" s="31">
        <f t="shared" si="45"/>
        <v>266.316</v>
      </c>
      <c r="ES90" s="31">
        <f t="shared" si="45"/>
        <v>929.1514999999999</v>
      </c>
      <c r="ET90" s="31">
        <f t="shared" si="45"/>
        <v>447.68600000000004</v>
      </c>
      <c r="EU90" s="31">
        <f t="shared" si="45"/>
        <v>263.58699999999993</v>
      </c>
      <c r="EV90" s="31">
        <f t="shared" si="45"/>
        <v>278.467</v>
      </c>
      <c r="EW90" s="31">
        <f t="shared" si="45"/>
        <v>224.735</v>
      </c>
      <c r="EX90" s="31">
        <f t="shared" si="45"/>
        <v>255.605</v>
      </c>
      <c r="EY90" s="31">
        <f t="shared" si="45"/>
        <v>458.052</v>
      </c>
      <c r="EZ90" s="31">
        <f t="shared" si="45"/>
        <v>216.656</v>
      </c>
      <c r="FA90" s="31">
        <f t="shared" si="45"/>
        <v>216.832</v>
      </c>
      <c r="FB90" s="31">
        <f t="shared" si="45"/>
        <v>252.37599999999998</v>
      </c>
      <c r="FC90" s="31">
        <f t="shared" si="45"/>
        <v>255.06</v>
      </c>
      <c r="FD90" s="31">
        <f t="shared" si="45"/>
        <v>208.05399999999997</v>
      </c>
      <c r="FE90" s="31">
        <f t="shared" si="45"/>
        <v>211.77700000000002</v>
      </c>
      <c r="FF90" s="31">
        <f t="shared" si="45"/>
        <v>1389.4299999999998</v>
      </c>
      <c r="FG90" s="31">
        <f t="shared" si="45"/>
        <v>363.08000000000004</v>
      </c>
      <c r="FH90" s="31">
        <f t="shared" si="45"/>
        <v>781.787</v>
      </c>
      <c r="FI90" s="31">
        <f t="shared" si="45"/>
        <v>154.59900000000002</v>
      </c>
      <c r="FJ90" s="31">
        <f t="shared" si="45"/>
        <v>460.997</v>
      </c>
      <c r="FK90" s="31">
        <f t="shared" si="45"/>
        <v>220.54799999999997</v>
      </c>
      <c r="FL90" s="31">
        <f t="shared" si="45"/>
        <v>245.47799999999998</v>
      </c>
      <c r="FM90" s="31">
        <f t="shared" si="45"/>
        <v>154.656</v>
      </c>
      <c r="FN90" s="31">
        <f t="shared" si="45"/>
        <v>172.66799999999998</v>
      </c>
      <c r="FO90" s="31">
        <f t="shared" si="45"/>
        <v>269.589</v>
      </c>
      <c r="FP90" s="31">
        <f t="shared" si="45"/>
        <v>124.844</v>
      </c>
      <c r="FQ90" s="31">
        <f t="shared" si="45"/>
        <v>150.925</v>
      </c>
      <c r="FR90" s="31">
        <f t="shared" si="45"/>
        <v>219.212</v>
      </c>
      <c r="FS90" s="31">
        <f t="shared" si="45"/>
        <v>156.847</v>
      </c>
      <c r="FT90" s="31">
        <f t="shared" si="45"/>
        <v>159.33</v>
      </c>
      <c r="FU90" s="31">
        <f t="shared" si="45"/>
        <v>151.109</v>
      </c>
      <c r="FV90" s="31">
        <f t="shared" si="45"/>
        <v>76.321</v>
      </c>
      <c r="FW90" s="31">
        <f t="shared" si="45"/>
        <v>211.109</v>
      </c>
      <c r="FX90" s="31">
        <f t="shared" si="45"/>
        <v>249.423</v>
      </c>
      <c r="FY90" s="31">
        <f t="shared" si="45"/>
        <v>109.60900000000001</v>
      </c>
      <c r="FZ90" s="31">
        <f t="shared" si="45"/>
        <v>25.053</v>
      </c>
      <c r="GA90" s="31">
        <f t="shared" si="45"/>
        <v>208.6865</v>
      </c>
      <c r="GB90" s="31">
        <f t="shared" si="45"/>
        <v>136.855</v>
      </c>
      <c r="GC90" s="31">
        <f t="shared" si="45"/>
        <v>214.21700000000004</v>
      </c>
      <c r="GD90" s="31">
        <f t="shared" si="45"/>
        <v>249.08399999999997</v>
      </c>
      <c r="GE90" s="31">
        <f t="shared" si="45"/>
        <v>65.162</v>
      </c>
      <c r="GF90" s="31">
        <f t="shared" si="45"/>
        <v>62.301</v>
      </c>
      <c r="GG90" s="31">
        <f t="shared" si="45"/>
        <v>106.863</v>
      </c>
      <c r="GH90" s="31">
        <f t="shared" si="45"/>
        <v>149.84199999999998</v>
      </c>
      <c r="GI90" s="31">
        <f t="shared" si="45"/>
        <v>204.16500000000002</v>
      </c>
      <c r="GJ90" s="31">
        <f t="shared" si="45"/>
        <v>156.541</v>
      </c>
      <c r="GK90" s="31">
        <f t="shared" si="45"/>
        <v>97.781</v>
      </c>
      <c r="GL90" s="31">
        <f t="shared" si="45"/>
        <v>378.629</v>
      </c>
      <c r="GM90" s="31">
        <f t="shared" si="45"/>
        <v>160.756</v>
      </c>
      <c r="GN90" s="31">
        <f t="shared" si="45"/>
        <v>213.357</v>
      </c>
      <c r="GO90" s="31">
        <f t="shared" si="45"/>
        <v>121.91700000000002</v>
      </c>
      <c r="GP90" s="31">
        <f aca="true" t="shared" si="46" ref="GP90:HX90">GP89+GP86+GP79+GP64+GP5</f>
        <v>86.803</v>
      </c>
      <c r="GQ90" s="31">
        <f t="shared" si="46"/>
        <v>115.811</v>
      </c>
      <c r="GR90" s="31">
        <f t="shared" si="46"/>
        <v>130.389</v>
      </c>
      <c r="GS90" s="31">
        <f t="shared" si="46"/>
        <v>73.63999999999999</v>
      </c>
      <c r="GT90" s="31">
        <f t="shared" si="46"/>
        <v>321.98699999999997</v>
      </c>
      <c r="GU90" s="31">
        <f t="shared" si="46"/>
        <v>198.52300000000002</v>
      </c>
      <c r="GV90" s="31">
        <f t="shared" si="46"/>
        <v>209.27999999999997</v>
      </c>
      <c r="GW90" s="31">
        <f t="shared" si="46"/>
        <v>565.4209999999999</v>
      </c>
      <c r="GX90" s="31">
        <f t="shared" si="46"/>
        <v>17.637</v>
      </c>
      <c r="GY90" s="31">
        <f t="shared" si="46"/>
        <v>35.96300000000001</v>
      </c>
      <c r="GZ90" s="31">
        <f t="shared" si="46"/>
        <v>107.22500000000001</v>
      </c>
      <c r="HA90" s="31">
        <f t="shared" si="46"/>
        <v>124.42</v>
      </c>
      <c r="HB90" s="31">
        <f t="shared" si="46"/>
        <v>128.744</v>
      </c>
      <c r="HC90" s="31">
        <f t="shared" si="46"/>
        <v>53.095000000000006</v>
      </c>
      <c r="HD90" s="31">
        <f t="shared" si="46"/>
        <v>289.98699999999997</v>
      </c>
      <c r="HE90" s="31">
        <f t="shared" si="46"/>
        <v>239.51000000000002</v>
      </c>
      <c r="HF90" s="31">
        <f t="shared" si="46"/>
        <v>169.761</v>
      </c>
      <c r="HG90" s="31">
        <f t="shared" si="46"/>
        <v>831.128</v>
      </c>
      <c r="HH90" s="31">
        <f t="shared" si="46"/>
        <v>151.48299999999998</v>
      </c>
      <c r="HI90" s="31">
        <f t="shared" si="46"/>
        <v>180.64100000000002</v>
      </c>
      <c r="HJ90" s="31">
        <f t="shared" si="46"/>
        <v>206.13000000000002</v>
      </c>
      <c r="HK90" s="31">
        <f t="shared" si="46"/>
        <v>259.146</v>
      </c>
      <c r="HL90" s="31">
        <f t="shared" si="46"/>
        <v>204.825</v>
      </c>
      <c r="HM90" s="31">
        <f t="shared" si="46"/>
        <v>256.15</v>
      </c>
      <c r="HN90" s="31">
        <f t="shared" si="46"/>
        <v>96.435</v>
      </c>
      <c r="HO90" s="31">
        <f t="shared" si="46"/>
        <v>275.355</v>
      </c>
      <c r="HP90" s="31">
        <f t="shared" si="46"/>
        <v>167.334</v>
      </c>
      <c r="HQ90" s="31">
        <f t="shared" si="46"/>
        <v>169.899</v>
      </c>
      <c r="HR90" s="31">
        <f t="shared" si="46"/>
        <v>156.669</v>
      </c>
      <c r="HS90" s="31">
        <f t="shared" si="46"/>
        <v>146.365</v>
      </c>
      <c r="HT90" s="31">
        <f t="shared" si="46"/>
        <v>100.095</v>
      </c>
      <c r="HU90" s="31">
        <f t="shared" si="46"/>
        <v>155.816</v>
      </c>
      <c r="HV90" s="31">
        <f t="shared" si="46"/>
        <v>338.325</v>
      </c>
      <c r="HW90" s="31">
        <f t="shared" si="46"/>
        <v>158.40200000000002</v>
      </c>
      <c r="HX90" s="31">
        <f t="shared" si="46"/>
        <v>293.397</v>
      </c>
    </row>
    <row r="91" spans="1:232" s="48" customFormat="1" ht="13.5">
      <c r="A91" s="44"/>
      <c r="B91" s="45" t="s">
        <v>294</v>
      </c>
      <c r="C91" s="46" t="s">
        <v>293</v>
      </c>
      <c r="D91" s="47">
        <f>SUM(G91:HX91)</f>
        <v>999725</v>
      </c>
      <c r="E91" s="46"/>
      <c r="F91" s="46"/>
      <c r="G91" s="46">
        <v>4639</v>
      </c>
      <c r="H91" s="46">
        <v>3257</v>
      </c>
      <c r="I91" s="46">
        <v>1863</v>
      </c>
      <c r="J91" s="46">
        <v>1043</v>
      </c>
      <c r="K91" s="46">
        <v>3532</v>
      </c>
      <c r="L91" s="46">
        <v>1683</v>
      </c>
      <c r="M91" s="46">
        <v>2508</v>
      </c>
      <c r="N91" s="46">
        <v>4164</v>
      </c>
      <c r="O91" s="46">
        <v>2360</v>
      </c>
      <c r="P91" s="46">
        <v>5598</v>
      </c>
      <c r="Q91" s="46">
        <v>4435</v>
      </c>
      <c r="R91" s="46">
        <v>4187</v>
      </c>
      <c r="S91" s="46">
        <v>4155</v>
      </c>
      <c r="T91" s="46">
        <v>4191</v>
      </c>
      <c r="U91" s="46">
        <v>3458</v>
      </c>
      <c r="V91" s="46">
        <v>3462</v>
      </c>
      <c r="W91" s="46">
        <v>1606</v>
      </c>
      <c r="X91" s="46">
        <v>2571</v>
      </c>
      <c r="Y91" s="46">
        <v>4927</v>
      </c>
      <c r="Z91" s="46">
        <v>4626</v>
      </c>
      <c r="AA91" s="46">
        <v>4759</v>
      </c>
      <c r="AB91" s="46">
        <v>2272</v>
      </c>
      <c r="AC91" s="46">
        <v>5075</v>
      </c>
      <c r="AD91" s="46">
        <v>4478</v>
      </c>
      <c r="AE91" s="46">
        <v>2279</v>
      </c>
      <c r="AF91" s="46">
        <v>1313</v>
      </c>
      <c r="AG91" s="46">
        <v>1384</v>
      </c>
      <c r="AH91" s="46">
        <v>3253</v>
      </c>
      <c r="AI91" s="46">
        <v>1250</v>
      </c>
      <c r="AJ91" s="46">
        <v>1620</v>
      </c>
      <c r="AK91" s="46">
        <v>4506</v>
      </c>
      <c r="AL91" s="46">
        <v>2647</v>
      </c>
      <c r="AM91" s="46">
        <v>798</v>
      </c>
      <c r="AN91" s="46">
        <v>6024</v>
      </c>
      <c r="AO91" s="46">
        <v>1575</v>
      </c>
      <c r="AP91" s="46">
        <v>2631</v>
      </c>
      <c r="AQ91" s="46">
        <v>4817</v>
      </c>
      <c r="AR91" s="46">
        <v>1980</v>
      </c>
      <c r="AS91" s="46">
        <v>3098</v>
      </c>
      <c r="AT91" s="46">
        <v>4807</v>
      </c>
      <c r="AU91" s="46">
        <v>870</v>
      </c>
      <c r="AV91" s="46">
        <v>4152</v>
      </c>
      <c r="AW91" s="46">
        <v>2942</v>
      </c>
      <c r="AX91" s="46">
        <v>2762</v>
      </c>
      <c r="AY91" s="46">
        <v>3770</v>
      </c>
      <c r="AZ91" s="46">
        <v>2762</v>
      </c>
      <c r="BA91" s="46">
        <v>2126</v>
      </c>
      <c r="BB91" s="46">
        <v>3033</v>
      </c>
      <c r="BC91" s="46">
        <v>6121</v>
      </c>
      <c r="BD91" s="46">
        <v>745</v>
      </c>
      <c r="BE91" s="46">
        <v>544</v>
      </c>
      <c r="BF91" s="46">
        <v>781</v>
      </c>
      <c r="BG91" s="46">
        <v>935</v>
      </c>
      <c r="BH91" s="46">
        <v>5770</v>
      </c>
      <c r="BI91" s="46">
        <v>2389</v>
      </c>
      <c r="BJ91" s="46">
        <v>5645</v>
      </c>
      <c r="BK91" s="46">
        <v>4371</v>
      </c>
      <c r="BL91" s="46">
        <v>536</v>
      </c>
      <c r="BM91" s="46">
        <v>1445</v>
      </c>
      <c r="BN91" s="46">
        <v>1117</v>
      </c>
      <c r="BO91" s="46">
        <v>4336</v>
      </c>
      <c r="BP91" s="46">
        <v>6394</v>
      </c>
      <c r="BQ91" s="46">
        <v>11905</v>
      </c>
      <c r="BR91" s="46">
        <v>2260</v>
      </c>
      <c r="BS91" s="46">
        <v>296</v>
      </c>
      <c r="BT91" s="46">
        <v>5442</v>
      </c>
      <c r="BU91" s="46">
        <v>4801</v>
      </c>
      <c r="BV91" s="46">
        <v>342</v>
      </c>
      <c r="BW91" s="46">
        <v>5664</v>
      </c>
      <c r="BX91" s="46">
        <v>4539</v>
      </c>
      <c r="BY91" s="46">
        <v>3926</v>
      </c>
      <c r="BZ91" s="46">
        <v>5478</v>
      </c>
      <c r="CA91" s="46">
        <v>5333</v>
      </c>
      <c r="CB91" s="46">
        <v>4187</v>
      </c>
      <c r="CC91" s="46">
        <v>2228</v>
      </c>
      <c r="CD91" s="46">
        <v>1844</v>
      </c>
      <c r="CE91" s="46">
        <v>251</v>
      </c>
      <c r="CF91" s="46">
        <v>1580</v>
      </c>
      <c r="CG91" s="46">
        <v>2489</v>
      </c>
      <c r="CH91" s="46">
        <v>5516</v>
      </c>
      <c r="CI91" s="46">
        <v>4134</v>
      </c>
      <c r="CJ91" s="46">
        <v>5838</v>
      </c>
      <c r="CK91" s="46">
        <v>2541</v>
      </c>
      <c r="CL91" s="46">
        <v>2048</v>
      </c>
      <c r="CM91" s="46">
        <v>4131</v>
      </c>
      <c r="CN91" s="46">
        <v>2280</v>
      </c>
      <c r="CO91" s="46">
        <v>2271</v>
      </c>
      <c r="CP91" s="46">
        <v>3555</v>
      </c>
      <c r="CQ91" s="46">
        <v>3395</v>
      </c>
      <c r="CR91" s="46">
        <v>3208</v>
      </c>
      <c r="CS91" s="46">
        <v>4140</v>
      </c>
      <c r="CT91" s="46">
        <v>2948</v>
      </c>
      <c r="CU91" s="46">
        <v>2343</v>
      </c>
      <c r="CV91" s="46">
        <v>2280</v>
      </c>
      <c r="CW91" s="46">
        <v>7372</v>
      </c>
      <c r="CX91" s="46">
        <v>1621</v>
      </c>
      <c r="CY91" s="46">
        <v>3006</v>
      </c>
      <c r="CZ91" s="46">
        <v>2508</v>
      </c>
      <c r="DA91" s="46">
        <v>10846</v>
      </c>
      <c r="DB91" s="46">
        <v>487</v>
      </c>
      <c r="DC91" s="46">
        <v>4809</v>
      </c>
      <c r="DD91" s="46">
        <v>2405</v>
      </c>
      <c r="DE91" s="46">
        <v>4748</v>
      </c>
      <c r="DF91" s="46">
        <v>4665</v>
      </c>
      <c r="DG91" s="46">
        <v>29219</v>
      </c>
      <c r="DH91" s="46">
        <v>24914</v>
      </c>
      <c r="DI91" s="46">
        <v>28123</v>
      </c>
      <c r="DJ91" s="46">
        <v>10774</v>
      </c>
      <c r="DK91" s="46">
        <v>28311</v>
      </c>
      <c r="DL91" s="46">
        <v>14754</v>
      </c>
      <c r="DM91" s="46">
        <v>2760</v>
      </c>
      <c r="DN91" s="46">
        <v>2560</v>
      </c>
      <c r="DO91" s="46">
        <v>3508</v>
      </c>
      <c r="DP91" s="46">
        <v>2532</v>
      </c>
      <c r="DQ91" s="46">
        <v>4378</v>
      </c>
      <c r="DR91" s="46">
        <v>2904</v>
      </c>
      <c r="DS91" s="46">
        <v>17434</v>
      </c>
      <c r="DT91" s="46">
        <v>6734</v>
      </c>
      <c r="DU91" s="46">
        <v>24816</v>
      </c>
      <c r="DV91" s="46">
        <v>6440</v>
      </c>
      <c r="DW91" s="46">
        <v>6977</v>
      </c>
      <c r="DX91" s="46">
        <v>34690</v>
      </c>
      <c r="DY91" s="46">
        <v>6332</v>
      </c>
      <c r="DZ91" s="46">
        <v>6986</v>
      </c>
      <c r="EA91" s="46">
        <v>6984</v>
      </c>
      <c r="EB91" s="46">
        <v>4694</v>
      </c>
      <c r="EC91" s="46">
        <v>4596</v>
      </c>
      <c r="ED91" s="46">
        <v>7359</v>
      </c>
      <c r="EE91" s="46">
        <v>5976</v>
      </c>
      <c r="EF91" s="46">
        <v>2901</v>
      </c>
      <c r="EG91" s="46">
        <v>3404</v>
      </c>
      <c r="EH91" s="46">
        <v>982</v>
      </c>
      <c r="EI91" s="46">
        <v>2349</v>
      </c>
      <c r="EJ91" s="46">
        <v>2348</v>
      </c>
      <c r="EK91" s="46">
        <v>2359</v>
      </c>
      <c r="EL91" s="46">
        <v>4942</v>
      </c>
      <c r="EM91" s="46">
        <v>3076</v>
      </c>
      <c r="EN91" s="46">
        <v>3202</v>
      </c>
      <c r="EO91" s="46">
        <v>3964</v>
      </c>
      <c r="EP91" s="46">
        <v>1919</v>
      </c>
      <c r="EQ91" s="46">
        <v>2151</v>
      </c>
      <c r="ER91" s="46">
        <v>3643</v>
      </c>
      <c r="ES91" s="46">
        <v>15242</v>
      </c>
      <c r="ET91" s="46">
        <v>7344</v>
      </c>
      <c r="EU91" s="46">
        <v>4324</v>
      </c>
      <c r="EV91" s="46">
        <v>4568</v>
      </c>
      <c r="EW91" s="46">
        <v>4950</v>
      </c>
      <c r="EX91" s="46">
        <v>4193</v>
      </c>
      <c r="EY91" s="46">
        <v>5479</v>
      </c>
      <c r="EZ91" s="46">
        <v>3494</v>
      </c>
      <c r="FA91" s="46">
        <v>3557</v>
      </c>
      <c r="FB91" s="46">
        <v>4140</v>
      </c>
      <c r="FC91" s="46">
        <v>4184</v>
      </c>
      <c r="FD91" s="46">
        <v>3413</v>
      </c>
      <c r="FE91" s="46">
        <v>3474</v>
      </c>
      <c r="FF91" s="46">
        <v>28987</v>
      </c>
      <c r="FG91" s="46">
        <v>5956</v>
      </c>
      <c r="FH91" s="46">
        <v>8350</v>
      </c>
      <c r="FI91" s="46">
        <v>2536</v>
      </c>
      <c r="FJ91" s="46">
        <v>4311</v>
      </c>
      <c r="FK91" s="46">
        <v>5192</v>
      </c>
      <c r="FL91" s="46">
        <v>3766</v>
      </c>
      <c r="FM91" s="46">
        <v>2537</v>
      </c>
      <c r="FN91" s="46">
        <v>2804</v>
      </c>
      <c r="FO91" s="46">
        <v>4306</v>
      </c>
      <c r="FP91" s="46">
        <v>2048</v>
      </c>
      <c r="FQ91" s="46">
        <v>3014</v>
      </c>
      <c r="FR91" s="46">
        <v>3596</v>
      </c>
      <c r="FS91" s="46">
        <v>2573</v>
      </c>
      <c r="FT91" s="46">
        <v>3802</v>
      </c>
      <c r="FU91" s="46">
        <v>3457</v>
      </c>
      <c r="FV91" s="46">
        <v>1252</v>
      </c>
      <c r="FW91" s="46">
        <v>3463</v>
      </c>
      <c r="FX91" s="46">
        <v>4031</v>
      </c>
      <c r="FY91" s="46">
        <v>1798</v>
      </c>
      <c r="FZ91" s="46">
        <v>411</v>
      </c>
      <c r="GA91" s="46">
        <v>3453</v>
      </c>
      <c r="GB91" s="46">
        <v>2245</v>
      </c>
      <c r="GC91" s="46">
        <v>3514</v>
      </c>
      <c r="GD91" s="46">
        <v>4086</v>
      </c>
      <c r="GE91" s="46">
        <v>1069</v>
      </c>
      <c r="GF91" s="46">
        <v>1022</v>
      </c>
      <c r="GG91" s="46">
        <v>1753</v>
      </c>
      <c r="GH91" s="46">
        <v>2458</v>
      </c>
      <c r="GI91" s="46">
        <v>3905</v>
      </c>
      <c r="GJ91" s="46">
        <v>2568</v>
      </c>
      <c r="GK91" s="46">
        <v>1604</v>
      </c>
      <c r="GL91" s="46">
        <v>5032</v>
      </c>
      <c r="GM91" s="46">
        <v>2637</v>
      </c>
      <c r="GN91" s="46">
        <v>2741</v>
      </c>
      <c r="GO91" s="46">
        <v>2000</v>
      </c>
      <c r="GP91" s="46">
        <v>1424</v>
      </c>
      <c r="GQ91" s="46">
        <v>1178</v>
      </c>
      <c r="GR91" s="46">
        <v>2139</v>
      </c>
      <c r="GS91" s="46">
        <v>1208</v>
      </c>
      <c r="GT91" s="46">
        <v>5282</v>
      </c>
      <c r="GU91" s="46">
        <v>3935</v>
      </c>
      <c r="GV91" s="46">
        <v>3433</v>
      </c>
      <c r="GW91" s="46">
        <v>8273</v>
      </c>
      <c r="GX91" s="46">
        <v>195</v>
      </c>
      <c r="GY91" s="46">
        <v>590</v>
      </c>
      <c r="GZ91" s="46">
        <v>1759</v>
      </c>
      <c r="HA91" s="46">
        <v>2041</v>
      </c>
      <c r="HB91" s="46">
        <v>2112</v>
      </c>
      <c r="HC91" s="46">
        <v>871</v>
      </c>
      <c r="HD91" s="46">
        <v>5125</v>
      </c>
      <c r="HE91" s="46">
        <v>3929</v>
      </c>
      <c r="HF91" s="46">
        <v>1980</v>
      </c>
      <c r="HG91" s="46">
        <v>13634</v>
      </c>
      <c r="HH91" s="46">
        <v>2485</v>
      </c>
      <c r="HI91" s="46">
        <v>2374</v>
      </c>
      <c r="HJ91" s="46">
        <v>2540</v>
      </c>
      <c r="HK91" s="46">
        <v>5261</v>
      </c>
      <c r="HL91" s="46">
        <v>3360</v>
      </c>
      <c r="HM91" s="46">
        <v>4202</v>
      </c>
      <c r="HN91" s="46">
        <v>1582</v>
      </c>
      <c r="HO91" s="46">
        <v>4517</v>
      </c>
      <c r="HP91" s="46">
        <v>2745</v>
      </c>
      <c r="HQ91" s="46">
        <v>2787</v>
      </c>
      <c r="HR91" s="46">
        <v>2570</v>
      </c>
      <c r="HS91" s="46">
        <v>2401</v>
      </c>
      <c r="HT91" s="46">
        <v>1642</v>
      </c>
      <c r="HU91" s="46">
        <v>2556</v>
      </c>
      <c r="HV91" s="46">
        <v>5550</v>
      </c>
      <c r="HW91" s="46">
        <v>2561</v>
      </c>
      <c r="HX91" s="46">
        <v>4813</v>
      </c>
    </row>
    <row r="92" spans="1:232" ht="12.75">
      <c r="A92" s="33"/>
      <c r="B92" s="49" t="s">
        <v>336</v>
      </c>
      <c r="C92" s="33" t="s">
        <v>0</v>
      </c>
      <c r="D92" s="47"/>
      <c r="E92" s="33"/>
      <c r="F92" s="47"/>
      <c r="G92" s="47">
        <f>G91*5.08/1000</f>
        <v>23.566119999999998</v>
      </c>
      <c r="H92" s="47">
        <f aca="true" t="shared" si="47" ref="H92:BT92">H91*5.08/1000</f>
        <v>16.545560000000002</v>
      </c>
      <c r="I92" s="47">
        <f t="shared" si="47"/>
        <v>9.46404</v>
      </c>
      <c r="J92" s="47">
        <f t="shared" si="47"/>
        <v>5.29844</v>
      </c>
      <c r="K92" s="47">
        <f t="shared" si="47"/>
        <v>17.94256</v>
      </c>
      <c r="L92" s="47">
        <f t="shared" si="47"/>
        <v>8.54964</v>
      </c>
      <c r="M92" s="47">
        <f t="shared" si="47"/>
        <v>12.740639999999999</v>
      </c>
      <c r="N92" s="47">
        <f t="shared" si="47"/>
        <v>21.153119999999998</v>
      </c>
      <c r="O92" s="47">
        <f t="shared" si="47"/>
        <v>11.9888</v>
      </c>
      <c r="P92" s="47">
        <f t="shared" si="47"/>
        <v>28.43784</v>
      </c>
      <c r="Q92" s="47">
        <f t="shared" si="47"/>
        <v>22.529799999999998</v>
      </c>
      <c r="R92" s="47">
        <f t="shared" si="47"/>
        <v>21.269959999999998</v>
      </c>
      <c r="S92" s="47">
        <f t="shared" si="47"/>
        <v>21.107400000000002</v>
      </c>
      <c r="T92" s="47">
        <f t="shared" si="47"/>
        <v>21.29028</v>
      </c>
      <c r="U92" s="47">
        <f t="shared" si="47"/>
        <v>17.56664</v>
      </c>
      <c r="V92" s="47">
        <f t="shared" si="47"/>
        <v>17.586959999999998</v>
      </c>
      <c r="W92" s="47">
        <f t="shared" si="47"/>
        <v>8.15848</v>
      </c>
      <c r="X92" s="47">
        <f t="shared" si="47"/>
        <v>13.06068</v>
      </c>
      <c r="Y92" s="47">
        <f t="shared" si="47"/>
        <v>25.02916</v>
      </c>
      <c r="Z92" s="47">
        <f t="shared" si="47"/>
        <v>23.50008</v>
      </c>
      <c r="AA92" s="47">
        <f t="shared" si="47"/>
        <v>24.175720000000002</v>
      </c>
      <c r="AB92" s="47">
        <f t="shared" si="47"/>
        <v>11.54176</v>
      </c>
      <c r="AC92" s="47">
        <f t="shared" si="47"/>
        <v>25.781</v>
      </c>
      <c r="AD92" s="47">
        <f t="shared" si="47"/>
        <v>22.748240000000003</v>
      </c>
      <c r="AE92" s="47">
        <f t="shared" si="47"/>
        <v>11.57732</v>
      </c>
      <c r="AF92" s="47">
        <f t="shared" si="47"/>
        <v>6.67004</v>
      </c>
      <c r="AG92" s="47">
        <f t="shared" si="47"/>
        <v>7.0307200000000005</v>
      </c>
      <c r="AH92" s="47">
        <f t="shared" si="47"/>
        <v>16.52524</v>
      </c>
      <c r="AI92" s="47">
        <f t="shared" si="47"/>
        <v>6.35</v>
      </c>
      <c r="AJ92" s="47">
        <f t="shared" si="47"/>
        <v>8.2296</v>
      </c>
      <c r="AK92" s="47">
        <f t="shared" si="47"/>
        <v>22.89048</v>
      </c>
      <c r="AL92" s="47">
        <f t="shared" si="47"/>
        <v>13.44676</v>
      </c>
      <c r="AM92" s="47">
        <f t="shared" si="47"/>
        <v>4.05384</v>
      </c>
      <c r="AN92" s="47">
        <f t="shared" si="47"/>
        <v>30.601920000000003</v>
      </c>
      <c r="AO92" s="47">
        <f t="shared" si="47"/>
        <v>8.001</v>
      </c>
      <c r="AP92" s="47">
        <f t="shared" si="47"/>
        <v>13.36548</v>
      </c>
      <c r="AQ92" s="47">
        <f t="shared" si="47"/>
        <v>24.47036</v>
      </c>
      <c r="AR92" s="47">
        <f t="shared" si="47"/>
        <v>10.058399999999999</v>
      </c>
      <c r="AS92" s="47">
        <f t="shared" si="47"/>
        <v>15.73784</v>
      </c>
      <c r="AT92" s="47">
        <f t="shared" si="47"/>
        <v>24.41956</v>
      </c>
      <c r="AU92" s="47">
        <f t="shared" si="47"/>
        <v>4.4196</v>
      </c>
      <c r="AV92" s="47">
        <f t="shared" si="47"/>
        <v>21.09216</v>
      </c>
      <c r="AW92" s="47">
        <f t="shared" si="47"/>
        <v>14.94536</v>
      </c>
      <c r="AX92" s="47">
        <f t="shared" si="47"/>
        <v>14.03096</v>
      </c>
      <c r="AY92" s="47">
        <f t="shared" si="47"/>
        <v>19.1516</v>
      </c>
      <c r="AZ92" s="47">
        <f t="shared" si="47"/>
        <v>14.03096</v>
      </c>
      <c r="BA92" s="47">
        <f t="shared" si="47"/>
        <v>10.80008</v>
      </c>
      <c r="BB92" s="47">
        <f t="shared" si="47"/>
        <v>15.407639999999999</v>
      </c>
      <c r="BC92" s="47">
        <f t="shared" si="47"/>
        <v>31.09468</v>
      </c>
      <c r="BD92" s="47">
        <f t="shared" si="47"/>
        <v>3.7845999999999997</v>
      </c>
      <c r="BE92" s="47">
        <f t="shared" si="47"/>
        <v>2.76352</v>
      </c>
      <c r="BF92" s="47">
        <f t="shared" si="47"/>
        <v>3.96748</v>
      </c>
      <c r="BG92" s="47">
        <f t="shared" si="47"/>
        <v>4.7498000000000005</v>
      </c>
      <c r="BH92" s="47">
        <f t="shared" si="47"/>
        <v>29.311600000000002</v>
      </c>
      <c r="BI92" s="47">
        <f t="shared" si="47"/>
        <v>12.13612</v>
      </c>
      <c r="BJ92" s="47">
        <f t="shared" si="47"/>
        <v>28.6766</v>
      </c>
      <c r="BK92" s="47">
        <f t="shared" si="47"/>
        <v>22.20468</v>
      </c>
      <c r="BL92" s="47">
        <f t="shared" si="47"/>
        <v>2.72288</v>
      </c>
      <c r="BM92" s="47">
        <f t="shared" si="47"/>
        <v>7.3406</v>
      </c>
      <c r="BN92" s="47">
        <f t="shared" si="47"/>
        <v>5.67436</v>
      </c>
      <c r="BO92" s="47">
        <f t="shared" si="47"/>
        <v>22.026880000000002</v>
      </c>
      <c r="BP92" s="47">
        <f t="shared" si="47"/>
        <v>32.48152</v>
      </c>
      <c r="BQ92" s="47">
        <f t="shared" si="47"/>
        <v>60.4774</v>
      </c>
      <c r="BR92" s="47">
        <f t="shared" si="47"/>
        <v>11.480799999999999</v>
      </c>
      <c r="BS92" s="47">
        <f t="shared" si="47"/>
        <v>1.5036800000000001</v>
      </c>
      <c r="BT92" s="47">
        <f t="shared" si="47"/>
        <v>27.64536</v>
      </c>
      <c r="BU92" s="47">
        <f aca="true" t="shared" si="48" ref="BU92:EF92">BU91*5.08/1000</f>
        <v>24.389080000000003</v>
      </c>
      <c r="BV92" s="47">
        <f t="shared" si="48"/>
        <v>1.7373600000000002</v>
      </c>
      <c r="BW92" s="47">
        <f t="shared" si="48"/>
        <v>28.77312</v>
      </c>
      <c r="BX92" s="47">
        <f t="shared" si="48"/>
        <v>23.05812</v>
      </c>
      <c r="BY92" s="47">
        <f t="shared" si="48"/>
        <v>19.944080000000003</v>
      </c>
      <c r="BZ92" s="47">
        <f t="shared" si="48"/>
        <v>27.82824</v>
      </c>
      <c r="CA92" s="47">
        <f t="shared" si="48"/>
        <v>27.091639999999998</v>
      </c>
      <c r="CB92" s="47">
        <f t="shared" si="48"/>
        <v>21.269959999999998</v>
      </c>
      <c r="CC92" s="47">
        <f t="shared" si="48"/>
        <v>11.31824</v>
      </c>
      <c r="CD92" s="47">
        <f t="shared" si="48"/>
        <v>9.36752</v>
      </c>
      <c r="CE92" s="47">
        <f t="shared" si="48"/>
        <v>1.27508</v>
      </c>
      <c r="CF92" s="47">
        <f t="shared" si="48"/>
        <v>8.0264</v>
      </c>
      <c r="CG92" s="47">
        <f t="shared" si="48"/>
        <v>12.644120000000001</v>
      </c>
      <c r="CH92" s="47">
        <f t="shared" si="48"/>
        <v>28.021279999999997</v>
      </c>
      <c r="CI92" s="47">
        <f t="shared" si="48"/>
        <v>21.00072</v>
      </c>
      <c r="CJ92" s="47">
        <f t="shared" si="48"/>
        <v>29.657040000000002</v>
      </c>
      <c r="CK92" s="47">
        <f t="shared" si="48"/>
        <v>12.908280000000001</v>
      </c>
      <c r="CL92" s="47">
        <f t="shared" si="48"/>
        <v>10.40384</v>
      </c>
      <c r="CM92" s="47">
        <f t="shared" si="48"/>
        <v>20.98548</v>
      </c>
      <c r="CN92" s="47">
        <f t="shared" si="48"/>
        <v>11.5824</v>
      </c>
      <c r="CO92" s="47">
        <f t="shared" si="48"/>
        <v>11.53668</v>
      </c>
      <c r="CP92" s="47">
        <f t="shared" si="48"/>
        <v>18.0594</v>
      </c>
      <c r="CQ92" s="47">
        <f t="shared" si="48"/>
        <v>17.246599999999997</v>
      </c>
      <c r="CR92" s="47">
        <f t="shared" si="48"/>
        <v>16.29664</v>
      </c>
      <c r="CS92" s="47">
        <f t="shared" si="48"/>
        <v>21.031200000000002</v>
      </c>
      <c r="CT92" s="47">
        <f t="shared" si="48"/>
        <v>14.97584</v>
      </c>
      <c r="CU92" s="47">
        <f t="shared" si="48"/>
        <v>11.90244</v>
      </c>
      <c r="CV92" s="47">
        <f t="shared" si="48"/>
        <v>11.5824</v>
      </c>
      <c r="CW92" s="47">
        <f t="shared" si="48"/>
        <v>37.449760000000005</v>
      </c>
      <c r="CX92" s="47">
        <f t="shared" si="48"/>
        <v>8.23468</v>
      </c>
      <c r="CY92" s="47">
        <f t="shared" si="48"/>
        <v>15.27048</v>
      </c>
      <c r="CZ92" s="47">
        <f t="shared" si="48"/>
        <v>12.740639999999999</v>
      </c>
      <c r="DA92" s="47">
        <f t="shared" si="48"/>
        <v>55.09768</v>
      </c>
      <c r="DB92" s="47">
        <f t="shared" si="48"/>
        <v>2.47396</v>
      </c>
      <c r="DC92" s="47">
        <f t="shared" si="48"/>
        <v>24.42972</v>
      </c>
      <c r="DD92" s="47">
        <f t="shared" si="48"/>
        <v>12.2174</v>
      </c>
      <c r="DE92" s="47">
        <f t="shared" si="48"/>
        <v>24.11984</v>
      </c>
      <c r="DF92" s="47">
        <f t="shared" si="48"/>
        <v>23.6982</v>
      </c>
      <c r="DG92" s="47">
        <f t="shared" si="48"/>
        <v>148.43251999999998</v>
      </c>
      <c r="DH92" s="47">
        <f t="shared" si="48"/>
        <v>126.56312</v>
      </c>
      <c r="DI92" s="47">
        <f t="shared" si="48"/>
        <v>142.86484</v>
      </c>
      <c r="DJ92" s="47">
        <f t="shared" si="48"/>
        <v>54.731919999999995</v>
      </c>
      <c r="DK92" s="47">
        <f t="shared" si="48"/>
        <v>143.81988</v>
      </c>
      <c r="DL92" s="47">
        <f t="shared" si="48"/>
        <v>74.95032</v>
      </c>
      <c r="DM92" s="47">
        <f t="shared" si="48"/>
        <v>14.020800000000001</v>
      </c>
      <c r="DN92" s="47">
        <f t="shared" si="48"/>
        <v>13.0048</v>
      </c>
      <c r="DO92" s="47">
        <f t="shared" si="48"/>
        <v>17.82064</v>
      </c>
      <c r="DP92" s="47">
        <f t="shared" si="48"/>
        <v>12.86256</v>
      </c>
      <c r="DQ92" s="47">
        <f t="shared" si="48"/>
        <v>22.24024</v>
      </c>
      <c r="DR92" s="47">
        <f t="shared" si="48"/>
        <v>14.75232</v>
      </c>
      <c r="DS92" s="47">
        <f t="shared" si="48"/>
        <v>88.56472</v>
      </c>
      <c r="DT92" s="47">
        <f t="shared" si="48"/>
        <v>34.20872</v>
      </c>
      <c r="DU92" s="47">
        <f t="shared" si="48"/>
        <v>126.06528</v>
      </c>
      <c r="DV92" s="47">
        <f t="shared" si="48"/>
        <v>32.7152</v>
      </c>
      <c r="DW92" s="47">
        <f t="shared" si="48"/>
        <v>35.443160000000006</v>
      </c>
      <c r="DX92" s="47">
        <f t="shared" si="48"/>
        <v>176.2252</v>
      </c>
      <c r="DY92" s="47">
        <f t="shared" si="48"/>
        <v>32.166560000000004</v>
      </c>
      <c r="DZ92" s="47">
        <f t="shared" si="48"/>
        <v>35.488879999999995</v>
      </c>
      <c r="EA92" s="47">
        <f t="shared" si="48"/>
        <v>35.47872</v>
      </c>
      <c r="EB92" s="47">
        <f t="shared" si="48"/>
        <v>23.84552</v>
      </c>
      <c r="EC92" s="47">
        <f t="shared" si="48"/>
        <v>23.34768</v>
      </c>
      <c r="ED92" s="47">
        <f t="shared" si="48"/>
        <v>37.383720000000004</v>
      </c>
      <c r="EE92" s="47">
        <f t="shared" si="48"/>
        <v>30.35808</v>
      </c>
      <c r="EF92" s="47">
        <f t="shared" si="48"/>
        <v>14.73708</v>
      </c>
      <c r="EG92" s="47">
        <f aca="true" t="shared" si="49" ref="EG92:GR92">EG91*5.08/1000</f>
        <v>17.29232</v>
      </c>
      <c r="EH92" s="47">
        <f t="shared" si="49"/>
        <v>4.9885600000000005</v>
      </c>
      <c r="EI92" s="47">
        <f t="shared" si="49"/>
        <v>11.93292</v>
      </c>
      <c r="EJ92" s="47">
        <f t="shared" si="49"/>
        <v>11.92784</v>
      </c>
      <c r="EK92" s="47">
        <f t="shared" si="49"/>
        <v>11.98372</v>
      </c>
      <c r="EL92" s="47">
        <f t="shared" si="49"/>
        <v>25.10536</v>
      </c>
      <c r="EM92" s="47">
        <f t="shared" si="49"/>
        <v>15.62608</v>
      </c>
      <c r="EN92" s="47">
        <f t="shared" si="49"/>
        <v>16.26616</v>
      </c>
      <c r="EO92" s="47">
        <f t="shared" si="49"/>
        <v>20.13712</v>
      </c>
      <c r="EP92" s="47">
        <f t="shared" si="49"/>
        <v>9.748520000000001</v>
      </c>
      <c r="EQ92" s="47">
        <f t="shared" si="49"/>
        <v>10.92708</v>
      </c>
      <c r="ER92" s="47">
        <f t="shared" si="49"/>
        <v>18.506439999999998</v>
      </c>
      <c r="ES92" s="47">
        <f t="shared" si="49"/>
        <v>77.42936</v>
      </c>
      <c r="ET92" s="47">
        <f t="shared" si="49"/>
        <v>37.307520000000004</v>
      </c>
      <c r="EU92" s="47">
        <f t="shared" si="49"/>
        <v>21.96592</v>
      </c>
      <c r="EV92" s="47">
        <f t="shared" si="49"/>
        <v>23.20544</v>
      </c>
      <c r="EW92" s="47">
        <f t="shared" si="49"/>
        <v>25.146</v>
      </c>
      <c r="EX92" s="47">
        <f t="shared" si="49"/>
        <v>21.30044</v>
      </c>
      <c r="EY92" s="47">
        <f t="shared" si="49"/>
        <v>27.83332</v>
      </c>
      <c r="EZ92" s="47">
        <f t="shared" si="49"/>
        <v>17.74952</v>
      </c>
      <c r="FA92" s="47">
        <f t="shared" si="49"/>
        <v>18.069560000000003</v>
      </c>
      <c r="FB92" s="47">
        <f t="shared" si="49"/>
        <v>21.031200000000002</v>
      </c>
      <c r="FC92" s="47">
        <f t="shared" si="49"/>
        <v>21.254720000000002</v>
      </c>
      <c r="FD92" s="47">
        <f t="shared" si="49"/>
        <v>17.33804</v>
      </c>
      <c r="FE92" s="47">
        <f t="shared" si="49"/>
        <v>17.647920000000003</v>
      </c>
      <c r="FF92" s="47">
        <f t="shared" si="49"/>
        <v>147.25395999999998</v>
      </c>
      <c r="FG92" s="47">
        <f t="shared" si="49"/>
        <v>30.25648</v>
      </c>
      <c r="FH92" s="47">
        <f t="shared" si="49"/>
        <v>42.418</v>
      </c>
      <c r="FI92" s="47">
        <f t="shared" si="49"/>
        <v>12.882880000000002</v>
      </c>
      <c r="FJ92" s="47">
        <f t="shared" si="49"/>
        <v>21.89988</v>
      </c>
      <c r="FK92" s="47">
        <f t="shared" si="49"/>
        <v>26.37536</v>
      </c>
      <c r="FL92" s="47">
        <f t="shared" si="49"/>
        <v>19.13128</v>
      </c>
      <c r="FM92" s="47">
        <f t="shared" si="49"/>
        <v>12.887960000000001</v>
      </c>
      <c r="FN92" s="47">
        <f t="shared" si="49"/>
        <v>14.24432</v>
      </c>
      <c r="FO92" s="47">
        <f t="shared" si="49"/>
        <v>21.87448</v>
      </c>
      <c r="FP92" s="47">
        <f t="shared" si="49"/>
        <v>10.40384</v>
      </c>
      <c r="FQ92" s="47">
        <f t="shared" si="49"/>
        <v>15.31112</v>
      </c>
      <c r="FR92" s="47">
        <f t="shared" si="49"/>
        <v>18.26768</v>
      </c>
      <c r="FS92" s="47">
        <f t="shared" si="49"/>
        <v>13.07084</v>
      </c>
      <c r="FT92" s="47">
        <f t="shared" si="49"/>
        <v>19.31416</v>
      </c>
      <c r="FU92" s="47">
        <f t="shared" si="49"/>
        <v>17.56156</v>
      </c>
      <c r="FV92" s="47">
        <f t="shared" si="49"/>
        <v>6.36016</v>
      </c>
      <c r="FW92" s="47">
        <f t="shared" si="49"/>
        <v>17.59204</v>
      </c>
      <c r="FX92" s="47">
        <f t="shared" si="49"/>
        <v>20.47748</v>
      </c>
      <c r="FY92" s="47">
        <f t="shared" si="49"/>
        <v>9.13384</v>
      </c>
      <c r="FZ92" s="47">
        <f t="shared" si="49"/>
        <v>2.08788</v>
      </c>
      <c r="GA92" s="47">
        <f t="shared" si="49"/>
        <v>17.541240000000002</v>
      </c>
      <c r="GB92" s="47">
        <f t="shared" si="49"/>
        <v>11.4046</v>
      </c>
      <c r="GC92" s="47">
        <f t="shared" si="49"/>
        <v>17.851119999999998</v>
      </c>
      <c r="GD92" s="47">
        <f t="shared" si="49"/>
        <v>20.756880000000002</v>
      </c>
      <c r="GE92" s="47">
        <f t="shared" si="49"/>
        <v>5.4305200000000005</v>
      </c>
      <c r="GF92" s="47">
        <f t="shared" si="49"/>
        <v>5.19176</v>
      </c>
      <c r="GG92" s="47">
        <f t="shared" si="49"/>
        <v>8.90524</v>
      </c>
      <c r="GH92" s="47">
        <f t="shared" si="49"/>
        <v>12.48664</v>
      </c>
      <c r="GI92" s="47">
        <f t="shared" si="49"/>
        <v>19.837400000000002</v>
      </c>
      <c r="GJ92" s="47">
        <f t="shared" si="49"/>
        <v>13.045440000000001</v>
      </c>
      <c r="GK92" s="47">
        <f t="shared" si="49"/>
        <v>8.14832</v>
      </c>
      <c r="GL92" s="47">
        <f t="shared" si="49"/>
        <v>25.56256</v>
      </c>
      <c r="GM92" s="47">
        <f t="shared" si="49"/>
        <v>13.39596</v>
      </c>
      <c r="GN92" s="47">
        <f t="shared" si="49"/>
        <v>13.924280000000001</v>
      </c>
      <c r="GO92" s="47">
        <f t="shared" si="49"/>
        <v>10.16</v>
      </c>
      <c r="GP92" s="47">
        <f t="shared" si="49"/>
        <v>7.23392</v>
      </c>
      <c r="GQ92" s="47">
        <f t="shared" si="49"/>
        <v>5.98424</v>
      </c>
      <c r="GR92" s="47">
        <f t="shared" si="49"/>
        <v>10.86612</v>
      </c>
      <c r="GS92" s="47">
        <f aca="true" t="shared" si="50" ref="GS92:HX92">GS91*5.08/1000</f>
        <v>6.136640000000001</v>
      </c>
      <c r="GT92" s="47">
        <f t="shared" si="50"/>
        <v>26.83256</v>
      </c>
      <c r="GU92" s="47">
        <f t="shared" si="50"/>
        <v>19.9898</v>
      </c>
      <c r="GV92" s="47">
        <f t="shared" si="50"/>
        <v>17.43964</v>
      </c>
      <c r="GW92" s="47">
        <f t="shared" si="50"/>
        <v>42.02684000000001</v>
      </c>
      <c r="GX92" s="47">
        <f t="shared" si="50"/>
        <v>0.9906</v>
      </c>
      <c r="GY92" s="47">
        <f t="shared" si="50"/>
        <v>2.9972</v>
      </c>
      <c r="GZ92" s="47">
        <f t="shared" si="50"/>
        <v>8.93572</v>
      </c>
      <c r="HA92" s="47">
        <f t="shared" si="50"/>
        <v>10.36828</v>
      </c>
      <c r="HB92" s="47">
        <f t="shared" si="50"/>
        <v>10.72896</v>
      </c>
      <c r="HC92" s="47">
        <f t="shared" si="50"/>
        <v>4.42468</v>
      </c>
      <c r="HD92" s="47">
        <f t="shared" si="50"/>
        <v>26.035</v>
      </c>
      <c r="HE92" s="47">
        <f t="shared" si="50"/>
        <v>19.959319999999998</v>
      </c>
      <c r="HF92" s="47">
        <f t="shared" si="50"/>
        <v>10.058399999999999</v>
      </c>
      <c r="HG92" s="47">
        <f t="shared" si="50"/>
        <v>69.26072</v>
      </c>
      <c r="HH92" s="47">
        <f t="shared" si="50"/>
        <v>12.6238</v>
      </c>
      <c r="HI92" s="47">
        <f t="shared" si="50"/>
        <v>12.05992</v>
      </c>
      <c r="HJ92" s="47">
        <f t="shared" si="50"/>
        <v>12.9032</v>
      </c>
      <c r="HK92" s="47">
        <f t="shared" si="50"/>
        <v>26.72588</v>
      </c>
      <c r="HL92" s="47">
        <f t="shared" si="50"/>
        <v>17.0688</v>
      </c>
      <c r="HM92" s="47">
        <f t="shared" si="50"/>
        <v>21.34616</v>
      </c>
      <c r="HN92" s="47">
        <f t="shared" si="50"/>
        <v>8.03656</v>
      </c>
      <c r="HO92" s="47">
        <f t="shared" si="50"/>
        <v>22.946360000000002</v>
      </c>
      <c r="HP92" s="47">
        <f t="shared" si="50"/>
        <v>13.944600000000001</v>
      </c>
      <c r="HQ92" s="47">
        <f t="shared" si="50"/>
        <v>14.157960000000001</v>
      </c>
      <c r="HR92" s="47">
        <f t="shared" si="50"/>
        <v>13.0556</v>
      </c>
      <c r="HS92" s="47">
        <f t="shared" si="50"/>
        <v>12.19708</v>
      </c>
      <c r="HT92" s="47">
        <f t="shared" si="50"/>
        <v>8.34136</v>
      </c>
      <c r="HU92" s="47">
        <f t="shared" si="50"/>
        <v>12.98448</v>
      </c>
      <c r="HV92" s="47">
        <f t="shared" si="50"/>
        <v>28.194</v>
      </c>
      <c r="HW92" s="47">
        <f t="shared" si="50"/>
        <v>13.00988</v>
      </c>
      <c r="HX92" s="47">
        <f t="shared" si="50"/>
        <v>24.45004</v>
      </c>
    </row>
    <row r="93" spans="1:232" ht="14.25" customHeight="1">
      <c r="A93" s="33"/>
      <c r="B93" s="49" t="s">
        <v>335</v>
      </c>
      <c r="C93" s="33"/>
      <c r="D93" s="47">
        <f>SUM(G93:HX93)</f>
        <v>60943.23599999997</v>
      </c>
      <c r="E93" s="33"/>
      <c r="F93" s="33"/>
      <c r="G93" s="47">
        <f aca="true" t="shared" si="51" ref="G93:BS93">G92*12</f>
        <v>282.79344</v>
      </c>
      <c r="H93" s="47">
        <f t="shared" si="51"/>
        <v>198.54672000000002</v>
      </c>
      <c r="I93" s="47">
        <f t="shared" si="51"/>
        <v>113.56848000000001</v>
      </c>
      <c r="J93" s="47">
        <f t="shared" si="51"/>
        <v>63.58128000000001</v>
      </c>
      <c r="K93" s="47">
        <f t="shared" si="51"/>
        <v>215.31072</v>
      </c>
      <c r="L93" s="47">
        <f t="shared" si="51"/>
        <v>102.59568</v>
      </c>
      <c r="M93" s="47">
        <f t="shared" si="51"/>
        <v>152.88768</v>
      </c>
      <c r="N93" s="47">
        <f t="shared" si="51"/>
        <v>253.83743999999996</v>
      </c>
      <c r="O93" s="47">
        <f t="shared" si="51"/>
        <v>143.8656</v>
      </c>
      <c r="P93" s="47">
        <f t="shared" si="51"/>
        <v>341.25408000000004</v>
      </c>
      <c r="Q93" s="47">
        <f t="shared" si="51"/>
        <v>270.3576</v>
      </c>
      <c r="R93" s="47">
        <f t="shared" si="51"/>
        <v>255.23951999999997</v>
      </c>
      <c r="S93" s="47">
        <f t="shared" si="51"/>
        <v>253.28880000000004</v>
      </c>
      <c r="T93" s="47">
        <f t="shared" si="51"/>
        <v>255.48336</v>
      </c>
      <c r="U93" s="47">
        <f t="shared" si="51"/>
        <v>210.79968</v>
      </c>
      <c r="V93" s="47">
        <f t="shared" si="51"/>
        <v>211.04351999999997</v>
      </c>
      <c r="W93" s="47">
        <f t="shared" si="51"/>
        <v>97.90176000000001</v>
      </c>
      <c r="X93" s="47">
        <f t="shared" si="51"/>
        <v>156.72816</v>
      </c>
      <c r="Y93" s="47">
        <f t="shared" si="51"/>
        <v>300.34992</v>
      </c>
      <c r="Z93" s="47">
        <f t="shared" si="51"/>
        <v>282.00096</v>
      </c>
      <c r="AA93" s="47">
        <f t="shared" si="51"/>
        <v>290.10864000000004</v>
      </c>
      <c r="AB93" s="47">
        <f t="shared" si="51"/>
        <v>138.50112000000001</v>
      </c>
      <c r="AC93" s="47">
        <f t="shared" si="51"/>
        <v>309.37199999999996</v>
      </c>
      <c r="AD93" s="47">
        <f t="shared" si="51"/>
        <v>272.97888</v>
      </c>
      <c r="AE93" s="47">
        <f t="shared" si="51"/>
        <v>138.92784</v>
      </c>
      <c r="AF93" s="47">
        <f t="shared" si="51"/>
        <v>80.04048</v>
      </c>
      <c r="AG93" s="47">
        <f t="shared" si="51"/>
        <v>84.36864</v>
      </c>
      <c r="AH93" s="47">
        <f t="shared" si="51"/>
        <v>198.30288000000002</v>
      </c>
      <c r="AI93" s="47">
        <f t="shared" si="51"/>
        <v>76.19999999999999</v>
      </c>
      <c r="AJ93" s="47">
        <f t="shared" si="51"/>
        <v>98.7552</v>
      </c>
      <c r="AK93" s="47">
        <f t="shared" si="51"/>
        <v>274.68576</v>
      </c>
      <c r="AL93" s="47">
        <f t="shared" si="51"/>
        <v>161.36112</v>
      </c>
      <c r="AM93" s="47">
        <f t="shared" si="51"/>
        <v>48.64608</v>
      </c>
      <c r="AN93" s="47">
        <f t="shared" si="51"/>
        <v>367.22304</v>
      </c>
      <c r="AO93" s="47">
        <f t="shared" si="51"/>
        <v>96.012</v>
      </c>
      <c r="AP93" s="47">
        <f t="shared" si="51"/>
        <v>160.38576</v>
      </c>
      <c r="AQ93" s="47">
        <f t="shared" si="51"/>
        <v>293.64432</v>
      </c>
      <c r="AR93" s="47">
        <f t="shared" si="51"/>
        <v>120.70079999999999</v>
      </c>
      <c r="AS93" s="47">
        <f t="shared" si="51"/>
        <v>188.85408</v>
      </c>
      <c r="AT93" s="47">
        <f t="shared" si="51"/>
        <v>293.03472</v>
      </c>
      <c r="AU93" s="47">
        <f t="shared" si="51"/>
        <v>53.0352</v>
      </c>
      <c r="AV93" s="47">
        <f t="shared" si="51"/>
        <v>253.10592</v>
      </c>
      <c r="AW93" s="47">
        <f t="shared" si="51"/>
        <v>179.34432</v>
      </c>
      <c r="AX93" s="47">
        <f t="shared" si="51"/>
        <v>168.37152</v>
      </c>
      <c r="AY93" s="47">
        <f t="shared" si="51"/>
        <v>229.81919999999997</v>
      </c>
      <c r="AZ93" s="47">
        <f t="shared" si="51"/>
        <v>168.37152</v>
      </c>
      <c r="BA93" s="47">
        <f t="shared" si="51"/>
        <v>129.60096</v>
      </c>
      <c r="BB93" s="47">
        <f t="shared" si="51"/>
        <v>184.89167999999998</v>
      </c>
      <c r="BC93" s="47">
        <f t="shared" si="51"/>
        <v>373.13616</v>
      </c>
      <c r="BD93" s="47">
        <f t="shared" si="51"/>
        <v>45.4152</v>
      </c>
      <c r="BE93" s="47">
        <f t="shared" si="51"/>
        <v>33.162240000000004</v>
      </c>
      <c r="BF93" s="47">
        <f t="shared" si="51"/>
        <v>47.60976</v>
      </c>
      <c r="BG93" s="47">
        <f t="shared" si="51"/>
        <v>56.997600000000006</v>
      </c>
      <c r="BH93" s="47">
        <f t="shared" si="51"/>
        <v>351.73920000000004</v>
      </c>
      <c r="BI93" s="47">
        <f t="shared" si="51"/>
        <v>145.63344</v>
      </c>
      <c r="BJ93" s="47">
        <f t="shared" si="51"/>
        <v>344.1192</v>
      </c>
      <c r="BK93" s="47">
        <f t="shared" si="51"/>
        <v>266.45616</v>
      </c>
      <c r="BL93" s="47">
        <f t="shared" si="51"/>
        <v>32.67456</v>
      </c>
      <c r="BM93" s="47">
        <f t="shared" si="51"/>
        <v>88.0872</v>
      </c>
      <c r="BN93" s="47">
        <f t="shared" si="51"/>
        <v>68.09232</v>
      </c>
      <c r="BO93" s="47">
        <f t="shared" si="51"/>
        <v>264.32256</v>
      </c>
      <c r="BP93" s="47">
        <f t="shared" si="51"/>
        <v>389.77824000000004</v>
      </c>
      <c r="BQ93" s="47">
        <f t="shared" si="51"/>
        <v>725.7288000000001</v>
      </c>
      <c r="BR93" s="47">
        <f t="shared" si="51"/>
        <v>137.76959999999997</v>
      </c>
      <c r="BS93" s="47">
        <f t="shared" si="51"/>
        <v>18.04416</v>
      </c>
      <c r="BT93" s="47">
        <f aca="true" t="shared" si="52" ref="BT93:EE93">BT92*12</f>
        <v>331.74432</v>
      </c>
      <c r="BU93" s="47">
        <f t="shared" si="52"/>
        <v>292.66896</v>
      </c>
      <c r="BV93" s="47">
        <f t="shared" si="52"/>
        <v>20.84832</v>
      </c>
      <c r="BW93" s="47">
        <f t="shared" si="52"/>
        <v>345.27743999999996</v>
      </c>
      <c r="BX93" s="47">
        <f t="shared" si="52"/>
        <v>276.69744</v>
      </c>
      <c r="BY93" s="47">
        <f t="shared" si="52"/>
        <v>239.32896000000005</v>
      </c>
      <c r="BZ93" s="47">
        <f t="shared" si="52"/>
        <v>333.93888000000004</v>
      </c>
      <c r="CA93" s="47">
        <f t="shared" si="52"/>
        <v>325.09968</v>
      </c>
      <c r="CB93" s="47">
        <f t="shared" si="52"/>
        <v>255.23951999999997</v>
      </c>
      <c r="CC93" s="47">
        <f t="shared" si="52"/>
        <v>135.81887999999998</v>
      </c>
      <c r="CD93" s="47">
        <f t="shared" si="52"/>
        <v>112.41024000000002</v>
      </c>
      <c r="CE93" s="47">
        <f t="shared" si="52"/>
        <v>15.30096</v>
      </c>
      <c r="CF93" s="47">
        <f t="shared" si="52"/>
        <v>96.3168</v>
      </c>
      <c r="CG93" s="47">
        <f t="shared" si="52"/>
        <v>151.72944</v>
      </c>
      <c r="CH93" s="47">
        <f t="shared" si="52"/>
        <v>336.25536</v>
      </c>
      <c r="CI93" s="47">
        <f t="shared" si="52"/>
        <v>252.00864</v>
      </c>
      <c r="CJ93" s="47">
        <f t="shared" si="52"/>
        <v>355.88448000000005</v>
      </c>
      <c r="CK93" s="47">
        <f t="shared" si="52"/>
        <v>154.89936</v>
      </c>
      <c r="CL93" s="47">
        <f t="shared" si="52"/>
        <v>124.84608</v>
      </c>
      <c r="CM93" s="47">
        <f t="shared" si="52"/>
        <v>251.82576</v>
      </c>
      <c r="CN93" s="47">
        <f t="shared" si="52"/>
        <v>138.9888</v>
      </c>
      <c r="CO93" s="47">
        <f t="shared" si="52"/>
        <v>138.44016</v>
      </c>
      <c r="CP93" s="47">
        <f t="shared" si="52"/>
        <v>216.71280000000002</v>
      </c>
      <c r="CQ93" s="47">
        <f t="shared" si="52"/>
        <v>206.95919999999995</v>
      </c>
      <c r="CR93" s="47">
        <f t="shared" si="52"/>
        <v>195.55968000000001</v>
      </c>
      <c r="CS93" s="47">
        <f t="shared" si="52"/>
        <v>252.37440000000004</v>
      </c>
      <c r="CT93" s="47">
        <f t="shared" si="52"/>
        <v>179.71008</v>
      </c>
      <c r="CU93" s="47">
        <f t="shared" si="52"/>
        <v>142.82928</v>
      </c>
      <c r="CV93" s="47">
        <f t="shared" si="52"/>
        <v>138.9888</v>
      </c>
      <c r="CW93" s="47">
        <f t="shared" si="52"/>
        <v>449.3971200000001</v>
      </c>
      <c r="CX93" s="47">
        <f t="shared" si="52"/>
        <v>98.81616000000001</v>
      </c>
      <c r="CY93" s="47">
        <f t="shared" si="52"/>
        <v>183.24576</v>
      </c>
      <c r="CZ93" s="47">
        <f t="shared" si="52"/>
        <v>152.88768</v>
      </c>
      <c r="DA93" s="47">
        <f t="shared" si="52"/>
        <v>661.17216</v>
      </c>
      <c r="DB93" s="47">
        <f t="shared" si="52"/>
        <v>29.68752</v>
      </c>
      <c r="DC93" s="47">
        <f t="shared" si="52"/>
        <v>293.15664</v>
      </c>
      <c r="DD93" s="47">
        <f t="shared" si="52"/>
        <v>146.6088</v>
      </c>
      <c r="DE93" s="47">
        <f t="shared" si="52"/>
        <v>289.43808</v>
      </c>
      <c r="DF93" s="47">
        <f t="shared" si="52"/>
        <v>284.3784</v>
      </c>
      <c r="DG93" s="47">
        <f t="shared" si="52"/>
        <v>1781.19024</v>
      </c>
      <c r="DH93" s="47">
        <f t="shared" si="52"/>
        <v>1518.7574399999999</v>
      </c>
      <c r="DI93" s="47">
        <f t="shared" si="52"/>
        <v>1714.37808</v>
      </c>
      <c r="DJ93" s="47">
        <f t="shared" si="52"/>
        <v>656.7830399999999</v>
      </c>
      <c r="DK93" s="47">
        <f t="shared" si="52"/>
        <v>1725.8385600000001</v>
      </c>
      <c r="DL93" s="47">
        <f t="shared" si="52"/>
        <v>899.4038400000001</v>
      </c>
      <c r="DM93" s="47">
        <f t="shared" si="52"/>
        <v>168.24960000000002</v>
      </c>
      <c r="DN93" s="47">
        <f t="shared" si="52"/>
        <v>156.05759999999998</v>
      </c>
      <c r="DO93" s="47">
        <f t="shared" si="52"/>
        <v>213.84768000000003</v>
      </c>
      <c r="DP93" s="47">
        <f t="shared" si="52"/>
        <v>154.35072</v>
      </c>
      <c r="DQ93" s="47">
        <f t="shared" si="52"/>
        <v>266.88288</v>
      </c>
      <c r="DR93" s="47">
        <f t="shared" si="52"/>
        <v>177.02784</v>
      </c>
      <c r="DS93" s="47">
        <f t="shared" si="52"/>
        <v>1062.77664</v>
      </c>
      <c r="DT93" s="47">
        <f t="shared" si="52"/>
        <v>410.50464</v>
      </c>
      <c r="DU93" s="47">
        <f t="shared" si="52"/>
        <v>1512.78336</v>
      </c>
      <c r="DV93" s="47">
        <f t="shared" si="52"/>
        <v>392.5824</v>
      </c>
      <c r="DW93" s="47">
        <f t="shared" si="52"/>
        <v>425.3179200000001</v>
      </c>
      <c r="DX93" s="47">
        <f t="shared" si="52"/>
        <v>2114.7024</v>
      </c>
      <c r="DY93" s="47">
        <f t="shared" si="52"/>
        <v>385.99872000000005</v>
      </c>
      <c r="DZ93" s="47">
        <f t="shared" si="52"/>
        <v>425.86655999999994</v>
      </c>
      <c r="EA93" s="47">
        <f t="shared" si="52"/>
        <v>425.74464</v>
      </c>
      <c r="EB93" s="47">
        <f t="shared" si="52"/>
        <v>286.14624000000003</v>
      </c>
      <c r="EC93" s="47">
        <f t="shared" si="52"/>
        <v>280.17216</v>
      </c>
      <c r="ED93" s="47">
        <f t="shared" si="52"/>
        <v>448.60464</v>
      </c>
      <c r="EE93" s="47">
        <f t="shared" si="52"/>
        <v>364.29696</v>
      </c>
      <c r="EF93" s="47">
        <f aca="true" t="shared" si="53" ref="EF93:GQ93">EF92*12</f>
        <v>176.84496000000001</v>
      </c>
      <c r="EG93" s="47">
        <f t="shared" si="53"/>
        <v>207.50784</v>
      </c>
      <c r="EH93" s="47">
        <f t="shared" si="53"/>
        <v>59.86272000000001</v>
      </c>
      <c r="EI93" s="47">
        <f t="shared" si="53"/>
        <v>143.19504</v>
      </c>
      <c r="EJ93" s="47">
        <f t="shared" si="53"/>
        <v>143.13407999999998</v>
      </c>
      <c r="EK93" s="47">
        <f t="shared" si="53"/>
        <v>143.80464</v>
      </c>
      <c r="EL93" s="47">
        <f t="shared" si="53"/>
        <v>301.26432</v>
      </c>
      <c r="EM93" s="47">
        <f t="shared" si="53"/>
        <v>187.51296</v>
      </c>
      <c r="EN93" s="47">
        <f t="shared" si="53"/>
        <v>195.19392</v>
      </c>
      <c r="EO93" s="47">
        <f t="shared" si="53"/>
        <v>241.64544</v>
      </c>
      <c r="EP93" s="47">
        <f t="shared" si="53"/>
        <v>116.98224000000002</v>
      </c>
      <c r="EQ93" s="47">
        <f t="shared" si="53"/>
        <v>131.12496</v>
      </c>
      <c r="ER93" s="47">
        <f t="shared" si="53"/>
        <v>222.07727999999997</v>
      </c>
      <c r="ES93" s="47">
        <f t="shared" si="53"/>
        <v>929.15232</v>
      </c>
      <c r="ET93" s="47">
        <f t="shared" si="53"/>
        <v>447.69024</v>
      </c>
      <c r="EU93" s="47">
        <f t="shared" si="53"/>
        <v>263.59104</v>
      </c>
      <c r="EV93" s="47">
        <f t="shared" si="53"/>
        <v>278.46528</v>
      </c>
      <c r="EW93" s="47">
        <f t="shared" si="53"/>
        <v>301.752</v>
      </c>
      <c r="EX93" s="47">
        <f t="shared" si="53"/>
        <v>255.60528</v>
      </c>
      <c r="EY93" s="47">
        <f t="shared" si="53"/>
        <v>333.99984</v>
      </c>
      <c r="EZ93" s="47">
        <f t="shared" si="53"/>
        <v>212.99424</v>
      </c>
      <c r="FA93" s="47">
        <f t="shared" si="53"/>
        <v>216.83472000000003</v>
      </c>
      <c r="FB93" s="47">
        <f t="shared" si="53"/>
        <v>252.37440000000004</v>
      </c>
      <c r="FC93" s="47">
        <f t="shared" si="53"/>
        <v>255.05664000000002</v>
      </c>
      <c r="FD93" s="47">
        <f t="shared" si="53"/>
        <v>208.05648</v>
      </c>
      <c r="FE93" s="47">
        <f t="shared" si="53"/>
        <v>211.77504000000005</v>
      </c>
      <c r="FF93" s="47">
        <f t="shared" si="53"/>
        <v>1767.0475199999996</v>
      </c>
      <c r="FG93" s="47">
        <f t="shared" si="53"/>
        <v>363.07776</v>
      </c>
      <c r="FH93" s="47">
        <f t="shared" si="53"/>
        <v>509.01599999999996</v>
      </c>
      <c r="FI93" s="47">
        <f t="shared" si="53"/>
        <v>154.59456000000003</v>
      </c>
      <c r="FJ93" s="47">
        <f t="shared" si="53"/>
        <v>262.79856</v>
      </c>
      <c r="FK93" s="47">
        <f t="shared" si="53"/>
        <v>316.50432</v>
      </c>
      <c r="FL93" s="47">
        <f t="shared" si="53"/>
        <v>229.57536</v>
      </c>
      <c r="FM93" s="47">
        <f t="shared" si="53"/>
        <v>154.65552000000002</v>
      </c>
      <c r="FN93" s="47">
        <f t="shared" si="53"/>
        <v>170.93184</v>
      </c>
      <c r="FO93" s="47">
        <f t="shared" si="53"/>
        <v>262.49375999999995</v>
      </c>
      <c r="FP93" s="47">
        <f t="shared" si="53"/>
        <v>124.84608</v>
      </c>
      <c r="FQ93" s="47">
        <f t="shared" si="53"/>
        <v>183.73344</v>
      </c>
      <c r="FR93" s="47">
        <f t="shared" si="53"/>
        <v>219.21215999999998</v>
      </c>
      <c r="FS93" s="47">
        <f t="shared" si="53"/>
        <v>156.85008</v>
      </c>
      <c r="FT93" s="47">
        <f t="shared" si="53"/>
        <v>231.76992</v>
      </c>
      <c r="FU93" s="47">
        <f t="shared" si="53"/>
        <v>210.73872</v>
      </c>
      <c r="FV93" s="47">
        <f t="shared" si="53"/>
        <v>76.32191999999999</v>
      </c>
      <c r="FW93" s="47">
        <f t="shared" si="53"/>
        <v>211.10448000000002</v>
      </c>
      <c r="FX93" s="47">
        <f t="shared" si="53"/>
        <v>245.72976</v>
      </c>
      <c r="FY93" s="47">
        <f t="shared" si="53"/>
        <v>109.60607999999999</v>
      </c>
      <c r="FZ93" s="47">
        <f t="shared" si="53"/>
        <v>25.054560000000002</v>
      </c>
      <c r="GA93" s="47">
        <f t="shared" si="53"/>
        <v>210.49488000000002</v>
      </c>
      <c r="GB93" s="47">
        <f t="shared" si="53"/>
        <v>136.8552</v>
      </c>
      <c r="GC93" s="47">
        <f t="shared" si="53"/>
        <v>214.21344</v>
      </c>
      <c r="GD93" s="47">
        <f t="shared" si="53"/>
        <v>249.08256000000003</v>
      </c>
      <c r="GE93" s="47">
        <f t="shared" si="53"/>
        <v>65.16624</v>
      </c>
      <c r="GF93" s="47">
        <f t="shared" si="53"/>
        <v>62.301120000000004</v>
      </c>
      <c r="GG93" s="47">
        <f t="shared" si="53"/>
        <v>106.86287999999999</v>
      </c>
      <c r="GH93" s="47">
        <f t="shared" si="53"/>
        <v>149.83968</v>
      </c>
      <c r="GI93" s="47">
        <f t="shared" si="53"/>
        <v>238.04880000000003</v>
      </c>
      <c r="GJ93" s="47">
        <f t="shared" si="53"/>
        <v>156.54528000000002</v>
      </c>
      <c r="GK93" s="47">
        <f t="shared" si="53"/>
        <v>97.77984000000001</v>
      </c>
      <c r="GL93" s="47">
        <f t="shared" si="53"/>
        <v>306.75072</v>
      </c>
      <c r="GM93" s="47">
        <f t="shared" si="53"/>
        <v>160.75152</v>
      </c>
      <c r="GN93" s="47">
        <f t="shared" si="53"/>
        <v>167.09136</v>
      </c>
      <c r="GO93" s="47">
        <f t="shared" si="53"/>
        <v>121.92</v>
      </c>
      <c r="GP93" s="47">
        <f t="shared" si="53"/>
        <v>86.80704</v>
      </c>
      <c r="GQ93" s="47">
        <f t="shared" si="53"/>
        <v>71.81088</v>
      </c>
      <c r="GR93" s="47">
        <f aca="true" t="shared" si="54" ref="GR93:HX93">GR92*12</f>
        <v>130.39344</v>
      </c>
      <c r="GS93" s="47">
        <f t="shared" si="54"/>
        <v>73.63968000000001</v>
      </c>
      <c r="GT93" s="47">
        <f t="shared" si="54"/>
        <v>321.99072</v>
      </c>
      <c r="GU93" s="47">
        <f t="shared" si="54"/>
        <v>239.87759999999997</v>
      </c>
      <c r="GV93" s="47">
        <f t="shared" si="54"/>
        <v>209.27568000000002</v>
      </c>
      <c r="GW93" s="47">
        <f t="shared" si="54"/>
        <v>504.3220800000001</v>
      </c>
      <c r="GX93" s="47">
        <f t="shared" si="54"/>
        <v>11.8872</v>
      </c>
      <c r="GY93" s="47">
        <f t="shared" si="54"/>
        <v>35.9664</v>
      </c>
      <c r="GZ93" s="47">
        <f t="shared" si="54"/>
        <v>107.22864</v>
      </c>
      <c r="HA93" s="47">
        <f t="shared" si="54"/>
        <v>124.41936000000001</v>
      </c>
      <c r="HB93" s="47">
        <f t="shared" si="54"/>
        <v>128.74752</v>
      </c>
      <c r="HC93" s="47">
        <f t="shared" si="54"/>
        <v>53.096160000000005</v>
      </c>
      <c r="HD93" s="47">
        <f t="shared" si="54"/>
        <v>312.42</v>
      </c>
      <c r="HE93" s="47">
        <f t="shared" si="54"/>
        <v>239.51183999999998</v>
      </c>
      <c r="HF93" s="47">
        <f t="shared" si="54"/>
        <v>120.70079999999999</v>
      </c>
      <c r="HG93" s="47">
        <f t="shared" si="54"/>
        <v>831.1286400000001</v>
      </c>
      <c r="HH93" s="47">
        <f t="shared" si="54"/>
        <v>151.48559999999998</v>
      </c>
      <c r="HI93" s="47">
        <f t="shared" si="54"/>
        <v>144.71904</v>
      </c>
      <c r="HJ93" s="47">
        <f t="shared" si="54"/>
        <v>154.8384</v>
      </c>
      <c r="HK93" s="47">
        <f t="shared" si="54"/>
        <v>320.71056</v>
      </c>
      <c r="HL93" s="47">
        <f t="shared" si="54"/>
        <v>204.8256</v>
      </c>
      <c r="HM93" s="47">
        <f t="shared" si="54"/>
        <v>256.15392</v>
      </c>
      <c r="HN93" s="47">
        <f t="shared" si="54"/>
        <v>96.43871999999999</v>
      </c>
      <c r="HO93" s="47">
        <f t="shared" si="54"/>
        <v>275.35632000000004</v>
      </c>
      <c r="HP93" s="47">
        <f t="shared" si="54"/>
        <v>167.33520000000001</v>
      </c>
      <c r="HQ93" s="47">
        <f t="shared" si="54"/>
        <v>169.89552</v>
      </c>
      <c r="HR93" s="47">
        <f t="shared" si="54"/>
        <v>156.6672</v>
      </c>
      <c r="HS93" s="47">
        <f t="shared" si="54"/>
        <v>146.36496</v>
      </c>
      <c r="HT93" s="47">
        <f t="shared" si="54"/>
        <v>100.09631999999999</v>
      </c>
      <c r="HU93" s="47">
        <f t="shared" si="54"/>
        <v>155.81376</v>
      </c>
      <c r="HV93" s="47">
        <f t="shared" si="54"/>
        <v>338.328</v>
      </c>
      <c r="HW93" s="47">
        <f t="shared" si="54"/>
        <v>156.11856</v>
      </c>
      <c r="HX93" s="47">
        <f t="shared" si="54"/>
        <v>293.40048</v>
      </c>
    </row>
    <row r="94" ht="12.75">
      <c r="AG94" s="50"/>
    </row>
    <row r="95" ht="12.75">
      <c r="AG95" s="50"/>
    </row>
    <row r="96" ht="12.75">
      <c r="AG96" s="50"/>
    </row>
    <row r="97" ht="12.75">
      <c r="AG97" s="50"/>
    </row>
    <row r="98" ht="12.75">
      <c r="AG98" s="50"/>
    </row>
    <row r="99" ht="12.75">
      <c r="AG99" s="50"/>
    </row>
    <row r="100" ht="12.75">
      <c r="AG100" s="50"/>
    </row>
    <row r="101" ht="12.75">
      <c r="AG101" s="50"/>
    </row>
    <row r="102" ht="12.75">
      <c r="AG102" s="50"/>
    </row>
    <row r="103" ht="12.75">
      <c r="AG103" s="50"/>
    </row>
    <row r="104" ht="12.75">
      <c r="AG104" s="50"/>
    </row>
    <row r="105" ht="12.75">
      <c r="AG105" s="50"/>
    </row>
    <row r="106" ht="12.75">
      <c r="AG106" s="50"/>
    </row>
    <row r="107" ht="12.75">
      <c r="AG107" s="50"/>
    </row>
    <row r="108" ht="12.75">
      <c r="AG108" s="50"/>
    </row>
    <row r="109" ht="12.75">
      <c r="AG109" s="50"/>
    </row>
    <row r="110" ht="12.75">
      <c r="AG110" s="50"/>
    </row>
    <row r="111" ht="12.75">
      <c r="AG111" s="50"/>
    </row>
    <row r="112" ht="12.75">
      <c r="AG112" s="50"/>
    </row>
    <row r="113" ht="12.75">
      <c r="AG113" s="50"/>
    </row>
    <row r="114" ht="12.75">
      <c r="AG114" s="50"/>
    </row>
    <row r="115" ht="12.75">
      <c r="AG115" s="50"/>
    </row>
    <row r="116" ht="12.75">
      <c r="AG116" s="50"/>
    </row>
    <row r="117" ht="12.75">
      <c r="AG117" s="50"/>
    </row>
    <row r="118" ht="12.75">
      <c r="AG118" s="50"/>
    </row>
    <row r="119" ht="12.75">
      <c r="AG119" s="50"/>
    </row>
    <row r="120" ht="12.75">
      <c r="AG120" s="50"/>
    </row>
    <row r="121" ht="12.75">
      <c r="AG121" s="50"/>
    </row>
    <row r="122" ht="12.75">
      <c r="AG122" s="50"/>
    </row>
    <row r="123" ht="12.75">
      <c r="AG123" s="50"/>
    </row>
    <row r="124" ht="12.75">
      <c r="AG124" s="50"/>
    </row>
    <row r="125" ht="12.75">
      <c r="AG125" s="50"/>
    </row>
    <row r="126" ht="12.75">
      <c r="AG126" s="50"/>
    </row>
  </sheetData>
  <sheetProtection/>
  <mergeCells count="231">
    <mergeCell ref="A2:A4"/>
    <mergeCell ref="B2:B4"/>
    <mergeCell ref="C2:C4"/>
    <mergeCell ref="D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Z2:Z4"/>
    <mergeCell ref="AA2:AA4"/>
    <mergeCell ref="AB2:AB4"/>
    <mergeCell ref="AC2:AC4"/>
    <mergeCell ref="AD2:AD4"/>
    <mergeCell ref="Y2:Y4"/>
    <mergeCell ref="AE2:AE4"/>
    <mergeCell ref="AF2:AF4"/>
    <mergeCell ref="AG2:AG4"/>
    <mergeCell ref="AH2:AH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AR2:AR4"/>
    <mergeCell ref="AS2:AS4"/>
    <mergeCell ref="AT2:AT4"/>
    <mergeCell ref="AU2:AU4"/>
    <mergeCell ref="AV2:AV4"/>
    <mergeCell ref="AW2:AW4"/>
    <mergeCell ref="AX2:AX4"/>
    <mergeCell ref="AY2:AY4"/>
    <mergeCell ref="AZ2:AZ4"/>
    <mergeCell ref="BA2:BA4"/>
    <mergeCell ref="BB2:BB4"/>
    <mergeCell ref="BC2:BC4"/>
    <mergeCell ref="BD2:BD4"/>
    <mergeCell ref="BE2:BE4"/>
    <mergeCell ref="BF2:BF4"/>
    <mergeCell ref="BG2:BG4"/>
    <mergeCell ref="BH2:BH4"/>
    <mergeCell ref="BI2:BI4"/>
    <mergeCell ref="BJ2:BJ4"/>
    <mergeCell ref="BK2:BK4"/>
    <mergeCell ref="BL2:BL4"/>
    <mergeCell ref="BM2:BM4"/>
    <mergeCell ref="BN2:BN4"/>
    <mergeCell ref="BO2:BO4"/>
    <mergeCell ref="BP2:BP4"/>
    <mergeCell ref="BQ2:BQ4"/>
    <mergeCell ref="BR2:BR4"/>
    <mergeCell ref="BS2:BS4"/>
    <mergeCell ref="BT2:BT4"/>
    <mergeCell ref="BU2:BU4"/>
    <mergeCell ref="BV2:BV4"/>
    <mergeCell ref="BW2:BW4"/>
    <mergeCell ref="BX2:BX4"/>
    <mergeCell ref="BY2:BY4"/>
    <mergeCell ref="BZ2:BZ4"/>
    <mergeCell ref="CA2:CA4"/>
    <mergeCell ref="CB2:CB4"/>
    <mergeCell ref="CC2:CC4"/>
    <mergeCell ref="CD2:CD4"/>
    <mergeCell ref="CE2:CE4"/>
    <mergeCell ref="CF2:CF4"/>
    <mergeCell ref="CG2:CG4"/>
    <mergeCell ref="CH2:CH4"/>
    <mergeCell ref="CI2:CI4"/>
    <mergeCell ref="CJ2:CJ4"/>
    <mergeCell ref="CK2:CK4"/>
    <mergeCell ref="CL2:CL4"/>
    <mergeCell ref="CM2:CM4"/>
    <mergeCell ref="CN2:CN4"/>
    <mergeCell ref="CO2:CO4"/>
    <mergeCell ref="CP2:CP4"/>
    <mergeCell ref="CQ2:CQ4"/>
    <mergeCell ref="CR2:CR4"/>
    <mergeCell ref="CS2:CS4"/>
    <mergeCell ref="CT2:CT4"/>
    <mergeCell ref="CU2:CU4"/>
    <mergeCell ref="CV2:CV4"/>
    <mergeCell ref="CW2:CW4"/>
    <mergeCell ref="CX2:CX4"/>
    <mergeCell ref="CY2:CY4"/>
    <mergeCell ref="CZ2:CZ4"/>
    <mergeCell ref="DA2:DA4"/>
    <mergeCell ref="DB2:DB4"/>
    <mergeCell ref="DC2:DC4"/>
    <mergeCell ref="DD2:DD4"/>
    <mergeCell ref="DE2:DE4"/>
    <mergeCell ref="DF2:DF4"/>
    <mergeCell ref="DG2:DG4"/>
    <mergeCell ref="DH2:DH4"/>
    <mergeCell ref="DI2:DI4"/>
    <mergeCell ref="DJ2:DJ4"/>
    <mergeCell ref="DK2:DK4"/>
    <mergeCell ref="DL2:DL4"/>
    <mergeCell ref="DM2:DM4"/>
    <mergeCell ref="DN2:DN4"/>
    <mergeCell ref="DO2:DO4"/>
    <mergeCell ref="DP2:DP4"/>
    <mergeCell ref="DQ2:DQ4"/>
    <mergeCell ref="DR2:DR4"/>
    <mergeCell ref="DS2:DS4"/>
    <mergeCell ref="DT2:DT4"/>
    <mergeCell ref="DU2:DU4"/>
    <mergeCell ref="DV2:DV4"/>
    <mergeCell ref="DW2:DW4"/>
    <mergeCell ref="DX2:DX4"/>
    <mergeCell ref="DY2:DY4"/>
    <mergeCell ref="DZ2:DZ4"/>
    <mergeCell ref="EA2:EA4"/>
    <mergeCell ref="EB2:EB4"/>
    <mergeCell ref="EC2:EC4"/>
    <mergeCell ref="ED2:ED4"/>
    <mergeCell ref="EE2:EE4"/>
    <mergeCell ref="EF2:EF4"/>
    <mergeCell ref="EG2:EG4"/>
    <mergeCell ref="EH2:EH4"/>
    <mergeCell ref="EI2:EI4"/>
    <mergeCell ref="EJ2:EJ4"/>
    <mergeCell ref="EK2:EK4"/>
    <mergeCell ref="EL2:EL4"/>
    <mergeCell ref="EM2:EM4"/>
    <mergeCell ref="EN2:EN4"/>
    <mergeCell ref="EO2:EO4"/>
    <mergeCell ref="EP2:EP4"/>
    <mergeCell ref="EQ2:EQ4"/>
    <mergeCell ref="ER2:ER4"/>
    <mergeCell ref="ES2:ES4"/>
    <mergeCell ref="ET2:ET4"/>
    <mergeCell ref="EU2:EU4"/>
    <mergeCell ref="EV2:EV4"/>
    <mergeCell ref="EW2:EW4"/>
    <mergeCell ref="EX2:EX4"/>
    <mergeCell ref="EY2:EY4"/>
    <mergeCell ref="EZ2:EZ4"/>
    <mergeCell ref="FA2:FA4"/>
    <mergeCell ref="FB2:FB4"/>
    <mergeCell ref="FC2:FC4"/>
    <mergeCell ref="FD2:FD4"/>
    <mergeCell ref="FE2:FE4"/>
    <mergeCell ref="FF2:FF4"/>
    <mergeCell ref="FG2:FG4"/>
    <mergeCell ref="FH2:FH4"/>
    <mergeCell ref="FI2:FI4"/>
    <mergeCell ref="FJ2:FJ4"/>
    <mergeCell ref="FK2:FK4"/>
    <mergeCell ref="FL2:FL4"/>
    <mergeCell ref="FM2:FM4"/>
    <mergeCell ref="FN2:FN4"/>
    <mergeCell ref="FO2:FO4"/>
    <mergeCell ref="FP2:FP4"/>
    <mergeCell ref="FQ2:FQ4"/>
    <mergeCell ref="FR2:FR4"/>
    <mergeCell ref="FS2:FS4"/>
    <mergeCell ref="FT2:FT4"/>
    <mergeCell ref="FU2:FU4"/>
    <mergeCell ref="FV2:FV4"/>
    <mergeCell ref="FW2:FW4"/>
    <mergeCell ref="FX2:FX4"/>
    <mergeCell ref="FY2:FY4"/>
    <mergeCell ref="FZ2:FZ4"/>
    <mergeCell ref="GA2:GA4"/>
    <mergeCell ref="GB2:GB4"/>
    <mergeCell ref="GC2:GC4"/>
    <mergeCell ref="GD2:GD4"/>
    <mergeCell ref="GE2:GE4"/>
    <mergeCell ref="GF2:GF4"/>
    <mergeCell ref="GG2:GG4"/>
    <mergeCell ref="GH2:GH4"/>
    <mergeCell ref="GI2:GI4"/>
    <mergeCell ref="GJ2:GJ4"/>
    <mergeCell ref="GK2:GK4"/>
    <mergeCell ref="GL2:GL4"/>
    <mergeCell ref="GM2:GM4"/>
    <mergeCell ref="GN2:GN4"/>
    <mergeCell ref="GO2:GO4"/>
    <mergeCell ref="GP2:GP4"/>
    <mergeCell ref="GQ2:GQ4"/>
    <mergeCell ref="GR2:GR4"/>
    <mergeCell ref="GS2:GS4"/>
    <mergeCell ref="GT2:GT4"/>
    <mergeCell ref="GU2:GU4"/>
    <mergeCell ref="GV2:GV4"/>
    <mergeCell ref="GW2:GW4"/>
    <mergeCell ref="GX2:GX4"/>
    <mergeCell ref="GY2:GY4"/>
    <mergeCell ref="GZ2:GZ4"/>
    <mergeCell ref="HA2:HA4"/>
    <mergeCell ref="HB2:HB4"/>
    <mergeCell ref="HC2:HC4"/>
    <mergeCell ref="HD2:HD4"/>
    <mergeCell ref="HE2:HE4"/>
    <mergeCell ref="HF2:HF4"/>
    <mergeCell ref="HG2:HG4"/>
    <mergeCell ref="HR2:HR4"/>
    <mergeCell ref="HS2:HS4"/>
    <mergeCell ref="HH2:HH4"/>
    <mergeCell ref="HI2:HI4"/>
    <mergeCell ref="HJ2:HJ4"/>
    <mergeCell ref="HK2:HK4"/>
    <mergeCell ref="HL2:HL4"/>
    <mergeCell ref="HM2:HM4"/>
    <mergeCell ref="HT2:HT4"/>
    <mergeCell ref="HU2:HU4"/>
    <mergeCell ref="HV2:HV4"/>
    <mergeCell ref="HW2:HW4"/>
    <mergeCell ref="HX2:HX4"/>
    <mergeCell ref="D3:F3"/>
    <mergeCell ref="HN2:HN4"/>
    <mergeCell ref="HO2:HO4"/>
    <mergeCell ref="HP2:HP4"/>
    <mergeCell ref="HQ2:HQ4"/>
  </mergeCells>
  <printOptions/>
  <pageMargins left="0" right="0" top="0.5905511811023623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User</cp:lastModifiedBy>
  <cp:lastPrinted>2015-01-20T06:51:20Z</cp:lastPrinted>
  <dcterms:created xsi:type="dcterms:W3CDTF">2009-01-19T12:31:22Z</dcterms:created>
  <dcterms:modified xsi:type="dcterms:W3CDTF">2015-02-18T13:39:03Z</dcterms:modified>
  <cp:category/>
  <cp:version/>
  <cp:contentType/>
  <cp:contentStatus/>
</cp:coreProperties>
</file>